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N5cMn3QXOfKS7BvUF8KSkacCO+rDyY3+78QH4aW62/7Xh1VpqngsjHXS4ZQW2jMpfhA84dp3Oos2sVP+R694wA==" workbookSaltValue="T8S57qJvi+aBnKMhhP7y9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AZ19" i="11"/>
  <c r="S14" i="16"/>
  <c r="P14" i="16"/>
  <c r="F13" i="16"/>
  <c r="N30" i="16"/>
  <c r="H14" i="21"/>
  <c r="K26" i="2"/>
  <c r="K23" i="2"/>
  <c r="N26" i="2"/>
  <c r="M14" i="2"/>
  <c r="M23" i="2"/>
  <c r="N14" i="2"/>
  <c r="N23" i="2"/>
  <c r="K30" i="2"/>
  <c r="F30" i="17"/>
  <c r="BK21" i="11"/>
  <c r="V13" i="11"/>
  <c r="AP22" i="20"/>
  <c r="BL25" i="11"/>
  <c r="BM20" i="11"/>
  <c r="BU28" i="17"/>
  <c r="BW9" i="20"/>
  <c r="BV17" i="16"/>
  <c r="BV25" i="16"/>
  <c r="U10" i="17"/>
  <c r="BU18" i="17"/>
  <c r="BV20" i="16"/>
  <c r="T14" i="16"/>
  <c r="AZ22" i="11"/>
  <c r="X16" i="17"/>
  <c r="P16" i="17"/>
  <c r="BH25" i="16"/>
  <c r="BJ10" i="11"/>
  <c r="BF16" i="11"/>
  <c r="AQ12" i="21"/>
  <c r="BH25" i="11"/>
  <c r="BI21" i="11"/>
  <c r="T14" i="20"/>
  <c r="BF25" i="8"/>
  <c r="BD9" i="8"/>
  <c r="BF9" i="8"/>
  <c r="L22" i="2"/>
  <c r="C30" i="7"/>
  <c r="L16" i="2"/>
  <c r="L25" i="2"/>
  <c r="L13" i="2"/>
  <c r="X10" i="21"/>
  <c r="AO14" i="21"/>
  <c r="L19" i="2"/>
  <c r="U9" i="17"/>
  <c r="U31" i="17" s="1"/>
  <c r="L9" i="2"/>
  <c r="AP14" i="16"/>
  <c r="V25" i="16"/>
  <c r="X13" i="16"/>
  <c r="T23" i="17"/>
  <c r="T26" i="17" s="1"/>
  <c r="T30" i="17" s="1"/>
  <c r="BG16" i="13"/>
  <c r="BE17" i="13"/>
  <c r="BE16" i="13"/>
  <c r="X32" i="20"/>
  <c r="G23" i="14"/>
  <c r="G30" i="14"/>
  <c r="F14" i="7" l="1"/>
  <c r="BD12" i="8"/>
  <c r="AY14" i="8"/>
  <c r="H28" i="2"/>
  <c r="V9" i="16"/>
  <c r="AA9" i="16"/>
  <c r="L21" i="2"/>
  <c r="AA11" i="16"/>
  <c r="L20" i="2"/>
  <c r="L18" i="2"/>
  <c r="X19" i="16"/>
  <c r="L17" i="2"/>
  <c r="L29" i="2"/>
  <c r="BK10" i="11"/>
  <c r="BI22" i="11"/>
  <c r="BL22" i="11"/>
  <c r="Q16" i="17"/>
  <c r="BK20" i="11"/>
  <c r="BF12" i="11"/>
  <c r="T17" i="11"/>
  <c r="R28" i="14"/>
  <c r="S11" i="17"/>
  <c r="BV10" i="16"/>
  <c r="BW16" i="20"/>
  <c r="BW17" i="20"/>
  <c r="BU21" i="17"/>
  <c r="BU11" i="17"/>
  <c r="BJ28" i="11"/>
  <c r="AZ9" i="11"/>
  <c r="AZ14" i="11" s="1"/>
  <c r="AZ13" i="11"/>
  <c r="BI19" i="11"/>
  <c r="BI25" i="11"/>
  <c r="BG22" i="11"/>
  <c r="Q18" i="20"/>
  <c r="Q23" i="20" s="1"/>
  <c r="V16" i="11"/>
  <c r="Z14" i="17"/>
  <c r="BF18" i="11"/>
  <c r="BG25" i="11"/>
  <c r="BF17" i="8"/>
  <c r="B16" i="6"/>
  <c r="L12" i="2"/>
  <c r="S17" i="17"/>
  <c r="S16" i="17"/>
  <c r="X21" i="20"/>
  <c r="L28" i="2"/>
  <c r="L10" i="2"/>
  <c r="BH22" i="11"/>
  <c r="BL17" i="11"/>
  <c r="BK22" i="11"/>
  <c r="BJ17" i="11"/>
  <c r="BH12" i="16"/>
  <c r="AO25" i="17"/>
  <c r="BM9" i="1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<sst xmlns="http://schemas.openxmlformats.org/spreadsheetml/2006/main" count="2672" uniqueCount="1184">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</sst>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4JUDh/RdCq72sTUcn89nwR6diyE+y9S0+R9gM5ebeWJ+qpyo5r3j5DwDKXOMygFz1VJOJtcy3ynJsLtyT/dBQ==" saltValue="5eoYfx5GyYnHDASym3Gc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COMUNIDAD VALENCIANA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25</v>
      </c>
      <c r="F10" s="240">
        <f>IF(ISNUMBER(Datos!K10),Datos!K10," - ")</f>
        <v>13</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1.3333333333333333</v>
      </c>
      <c r="L10" s="1402">
        <f>IF(ISNUMBER(NºAsuntos!I10/NºAsuntos!G10),(NºAsuntos!I10/NºAsuntos!G10)*11," - ")</f>
        <v>17.76923076923077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7.660327868852459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25</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2348</v>
      </c>
      <c r="D17" s="239">
        <f>IF(ISNUMBER(IF(D_I="SI",Datos!I17,Datos!I17+Datos!AC17)),IF(D_I="SI",Datos!I17,Datos!I17+Datos!AC17)," - ")</f>
        <v>2724</v>
      </c>
      <c r="E17" s="240">
        <f>IF(ISNUMBER(IF(D_I="SI",Datos!J17,Datos!J17+Datos!AD17)),IF(D_I="SI",Datos!J17,Datos!J17+Datos!AD17)," - ")</f>
        <v>4633</v>
      </c>
      <c r="F17" s="240">
        <f>IF(ISNUMBER(IF(D_I="SI",Datos!K17,Datos!K17+Datos!AE17)),IF(D_I="SI",Datos!K17,Datos!K17+Datos!AE17)," - ")</f>
        <v>4333</v>
      </c>
      <c r="G17" s="1390" t="str">
        <f>IF(Datos!E17&lt;&gt;"",Datos!E17,Datos!D17)</f>
        <v>04</v>
      </c>
      <c r="H17" s="241">
        <f>IF(ISNUMBER(IF(D_I="SI",Datos!L17,Datos!L17+Datos!AF17)),IF(D_I="SI",Datos!L17,Datos!L17+Datos!AF17)," - ")</f>
        <v>2648</v>
      </c>
      <c r="I17" s="1400" t="str">
        <f>IF(ISNUMBER(Datos!AS17/Datos!BM17),Datos!AS17/Datos!BM17," - ")</f>
        <v xml:space="preserve"> - </v>
      </c>
      <c r="J17" s="1401">
        <f>IF(ISNUMBER(Datos!BY17/Datos!CN17),Datos!BY17/Datos!CN17," - ")</f>
        <v>0</v>
      </c>
      <c r="K17" s="244">
        <f t="shared" si="3"/>
        <v>0.12776831345826234</v>
      </c>
      <c r="L17" s="1402">
        <f>IF(ISNUMBER(NºAsuntos!I17/NºAsuntos!G17),(NºAsuntos!I17/NºAsuntos!G17)*11," - ")</f>
        <v>6.7223632587122086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16</v>
      </c>
      <c r="E18" s="240">
        <f>IF(ISNUMBER(IF(D_I="SI",Datos!J18,Datos!J18+Datos!AD18)),IF(D_I="SI",Datos!J18,Datos!J18+Datos!AD18)," - ")</f>
        <v>360</v>
      </c>
      <c r="F18" s="240">
        <f>IF(ISNUMBER(IF(D_I="SI",Datos!K18,Datos!K18+Datos!AE18)),IF(D_I="SI",Datos!K18,Datos!K18+Datos!AE18)," - ")</f>
        <v>348</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0.70588235294117652</v>
      </c>
      <c r="L18" s="1402">
        <f>IF(ISNUMBER(NºAsuntos!I18/NºAsuntos!G18),(NºAsuntos!I18/NºAsuntos!G18)*11," - ")</f>
        <v>0.91666666666666663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64</v>
      </c>
      <c r="D21" s="239">
        <f>IF(ISNUMBER(Datos!I21),Datos!I21," - ")</f>
        <v>37</v>
      </c>
      <c r="E21" s="240">
        <f>IF(ISNUMBER(Datos!J21),Datos!J21," - ")</f>
        <v>288</v>
      </c>
      <c r="F21" s="240">
        <f>IF(ISNUMBER(Datos!K21),Datos!K21," - ")</f>
        <v>314</v>
      </c>
      <c r="G21" s="1390" t="str">
        <f>IF(Datos!E21&lt;&gt;"",Datos!E21,Datos!D21)</f>
        <v>09</v>
      </c>
      <c r="H21" s="241">
        <f>IF(ISNUMBER(Datos!L21),Datos!L21," - ")</f>
        <v>38</v>
      </c>
      <c r="I21" s="1400" t="str">
        <f>IF(ISNUMBER(Datos!AS21/Datos!BM21),Datos!AS21/Datos!BM21," - ")</f>
        <v xml:space="preserve"> - </v>
      </c>
      <c r="J21" s="1401" t="str">
        <f>IF(ISNUMBER(Datos!BY21/Datos!CN21),Datos!BY21/Datos!CN21," - ")</f>
        <v xml:space="preserve"> - </v>
      </c>
      <c r="K21" s="244">
        <f t="shared" si="3"/>
        <v>-0.40625</v>
      </c>
      <c r="L21" s="1402">
        <f>IF(ISNUMBER(NºAsuntos!I21/NºAsuntos!G21),(NºAsuntos!I21/NºAsuntos!G21)*11," - ")</f>
        <v>1.3312101910828025</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2429</v>
      </c>
      <c r="D23" s="1407">
        <f>SUBTOTAL(9,D16:D22)</f>
        <v>2777</v>
      </c>
      <c r="E23" s="1408">
        <f>SUBTOTAL(9,E16:E22)</f>
        <v>5281</v>
      </c>
      <c r="F23" s="1408">
        <f>SUBTOTAL(9,F16:F22)</f>
        <v>4995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2438</v>
      </c>
      <c r="D31" s="1435">
        <f>SUBTOTAL(9,D9:D30)</f>
        <v>2786</v>
      </c>
      <c r="E31" s="1436">
        <f>SUBTOTAL(9,E9:E30)</f>
        <v>5306</v>
      </c>
      <c r="F31" s="1436">
        <f>SUBTOTAL(9,F9:F30)</f>
        <v>5008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qHjf1M/iCq8eGoizpuzlv8hITTtnfjxvDfgaVK5x9Ey+pUl7GHQW2fmLAO2MvtJOnu2yigOrTX5yv22yWzIjcQ==" saltValue="XLa+H/l0srbZy+fjsEiYk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5pVCUNOknJ/7vF1dSujhoBtCDpm6pV7ZPPMpBiGZo8Q3/TFC2S8JJ4k7m/FboX8Fstu5lWX9veVEiB2T4GSR9g==" saltValue="JC6vjNtKZrn/T1yVEpuo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9</v>
      </c>
      <c r="J10" s="194">
        <v>25</v>
      </c>
      <c r="K10" s="194">
        <v>13</v>
      </c>
      <c r="L10" s="194">
        <v>21</v>
      </c>
      <c r="M10" s="194">
        <v>6</v>
      </c>
      <c r="N10" s="194">
        <v>4</v>
      </c>
      <c r="O10" s="194">
        <v>1</v>
      </c>
      <c r="P10" s="194">
        <v>0</v>
      </c>
      <c r="Q10" s="194">
        <v>20</v>
      </c>
      <c r="R10" s="194">
        <v>24</v>
      </c>
      <c r="S10" s="194">
        <v>112</v>
      </c>
      <c r="T10" s="194">
        <v>34</v>
      </c>
      <c r="U10" s="194">
        <v>50</v>
      </c>
      <c r="V10" s="194">
        <v>9</v>
      </c>
      <c r="W10" s="194">
        <v>13</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112</v>
      </c>
      <c r="AZ10" s="139">
        <f t="shared" si="0"/>
        <v>34</v>
      </c>
      <c r="BA10" s="139">
        <f t="shared" si="0"/>
        <v>50</v>
      </c>
      <c r="BB10" s="139">
        <f t="shared" si="0"/>
        <v>9</v>
      </c>
      <c r="BC10" s="135">
        <f t="shared" si="0"/>
        <v>13</v>
      </c>
      <c r="BD10" s="136">
        <f>IF(ISNUMBER(BA10/AZ10),BA10/AZ10," - ")</f>
        <v>1.4705882352941178</v>
      </c>
      <c r="BE10" s="137">
        <f>IF(ISNUMBER(BB10/BA10),BB10/BA10, " - ")</f>
        <v>0.18</v>
      </c>
      <c r="BF10" s="137">
        <f>IF(ISNUMBER(BC10/BA10),BC10/BA10, " - ")</f>
        <v>0.26</v>
      </c>
      <c r="BG10" s="209">
        <f>IF(ISNUMBER((AY10+AZ10)/BA10),(AY10+AZ10)/BA10," - ")</f>
        <v>2.92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3204</v>
      </c>
      <c r="J12" s="196">
        <v>4526</v>
      </c>
      <c r="K12" s="196">
        <v>4153</v>
      </c>
      <c r="L12" s="196">
        <v>3111</v>
      </c>
      <c r="M12" s="196">
        <v>883</v>
      </c>
      <c r="N12" s="196">
        <v>1618</v>
      </c>
      <c r="O12" s="194">
        <v>2083</v>
      </c>
      <c r="P12" s="196">
        <v>1423</v>
      </c>
      <c r="Q12" s="196">
        <v>784</v>
      </c>
      <c r="R12" s="196">
        <v>5922</v>
      </c>
      <c r="S12" s="196">
        <v>2849</v>
      </c>
      <c r="T12" s="196">
        <v>4028</v>
      </c>
      <c r="U12" s="196">
        <v>3686</v>
      </c>
      <c r="V12" s="196">
        <v>3204</v>
      </c>
      <c r="W12" s="196">
        <v>666</v>
      </c>
      <c r="X12" s="202">
        <v>1305</v>
      </c>
      <c r="Y12" s="204">
        <v>99</v>
      </c>
      <c r="Z12" s="194">
        <v>395</v>
      </c>
      <c r="AA12" s="194">
        <v>422</v>
      </c>
      <c r="AB12" s="194">
        <v>75</v>
      </c>
      <c r="AC12" s="196">
        <v>0</v>
      </c>
      <c r="AD12" s="196">
        <v>0</v>
      </c>
      <c r="AE12" s="196">
        <v>0</v>
      </c>
      <c r="AF12" s="202">
        <v>0</v>
      </c>
      <c r="AG12" s="215">
        <v>81</v>
      </c>
      <c r="AH12" s="196">
        <v>400</v>
      </c>
      <c r="AI12" s="196">
        <v>390</v>
      </c>
      <c r="AJ12" s="216">
        <v>99</v>
      </c>
      <c r="AK12" s="195">
        <v>0</v>
      </c>
      <c r="AL12" s="196">
        <v>0</v>
      </c>
      <c r="AM12" s="196">
        <v>0</v>
      </c>
      <c r="AN12" s="202">
        <v>0</v>
      </c>
      <c r="AO12" s="283">
        <v>5</v>
      </c>
      <c r="AP12" s="168">
        <v>5</v>
      </c>
      <c r="AQ12" s="168">
        <v>5</v>
      </c>
      <c r="AR12" s="167">
        <v>5</v>
      </c>
      <c r="AS12" s="381" t="s">
        <v>1066</v>
      </c>
      <c r="AT12" s="216"/>
      <c r="AU12" s="215"/>
      <c r="AV12" s="216"/>
      <c r="AW12" s="215"/>
      <c r="AX12" s="216"/>
      <c r="AY12" s="136">
        <f t="shared" si="1"/>
        <v>2930</v>
      </c>
      <c r="AZ12" s="137">
        <f t="shared" si="1"/>
        <v>4428</v>
      </c>
      <c r="BA12" s="137">
        <f t="shared" si="1"/>
        <v>4076</v>
      </c>
      <c r="BB12" s="137">
        <f t="shared" si="1"/>
        <v>3303</v>
      </c>
      <c r="BC12" s="135">
        <f>IF(ISNUMBER(X12),X12," - ")</f>
        <v>1305</v>
      </c>
      <c r="BD12" s="136">
        <f t="shared" si="2"/>
        <v>0.9205058717253839</v>
      </c>
      <c r="BE12" s="137">
        <f t="shared" si="3"/>
        <v>0.8103532875368008</v>
      </c>
      <c r="BF12" s="137">
        <f t="shared" si="4"/>
        <v>0.32016683022571146</v>
      </c>
      <c r="BG12" s="209">
        <f t="shared" si="5"/>
        <v>1.8052011776251227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3213</v>
      </c>
      <c r="J14" s="197">
        <f t="shared" si="7"/>
        <v>4551</v>
      </c>
      <c r="K14" s="197">
        <f t="shared" si="7"/>
        <v>4166</v>
      </c>
      <c r="L14" s="197">
        <f t="shared" si="7"/>
        <v>3132</v>
      </c>
      <c r="M14" s="197">
        <f t="shared" si="7"/>
        <v>889</v>
      </c>
      <c r="N14" s="197">
        <f t="shared" si="7"/>
        <v>1622</v>
      </c>
      <c r="O14" s="197">
        <f t="shared" si="7"/>
        <v>2084</v>
      </c>
      <c r="P14" s="197">
        <f t="shared" si="7"/>
        <v>1423</v>
      </c>
      <c r="Q14" s="197">
        <f t="shared" si="7"/>
        <v>804</v>
      </c>
      <c r="R14" s="197">
        <f t="shared" si="7"/>
        <v>5946</v>
      </c>
      <c r="S14" s="197">
        <f t="shared" si="7"/>
        <v>2961</v>
      </c>
      <c r="T14" s="197">
        <f t="shared" si="7"/>
        <v>4062</v>
      </c>
      <c r="U14" s="197">
        <f t="shared" si="7"/>
        <v>3736</v>
      </c>
      <c r="V14" s="197">
        <f t="shared" si="7"/>
        <v>3213</v>
      </c>
      <c r="W14" s="197">
        <f t="shared" si="7"/>
        <v>679</v>
      </c>
      <c r="X14" s="197">
        <f t="shared" si="7"/>
        <v>1320</v>
      </c>
      <c r="Y14" s="197">
        <f t="shared" si="7"/>
        <v>99</v>
      </c>
      <c r="Z14" s="197">
        <f t="shared" si="7"/>
        <v>395</v>
      </c>
      <c r="AA14" s="197">
        <f t="shared" si="7"/>
        <v>422</v>
      </c>
      <c r="AB14" s="197">
        <f t="shared" si="7"/>
        <v>75</v>
      </c>
      <c r="AC14" s="197">
        <f t="shared" si="7"/>
        <v>0</v>
      </c>
      <c r="AD14" s="197">
        <f t="shared" si="7"/>
        <v>0</v>
      </c>
      <c r="AE14" s="197">
        <f t="shared" si="7"/>
        <v>0</v>
      </c>
      <c r="AF14" s="197">
        <f>SUBTOTAL(9,AF9:AF13)</f>
        <v>0</v>
      </c>
      <c r="AG14" s="197">
        <f t="shared" ref="AG14:AT14" si="8">SUBTOTAL(9,AG8:AG13)</f>
        <v>81</v>
      </c>
      <c r="AH14" s="197">
        <f t="shared" si="8"/>
        <v>400</v>
      </c>
      <c r="AI14" s="197">
        <f t="shared" si="8"/>
        <v>390</v>
      </c>
      <c r="AJ14" s="197">
        <f t="shared" si="8"/>
        <v>99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3042</v>
      </c>
      <c r="AZ14" s="197">
        <f>SUBTOTAL(9,AZ8:AZ13)</f>
        <v>4462</v>
      </c>
      <c r="BA14" s="197">
        <f>SUBTOTAL(9,BA8:BA13)</f>
        <v>4126</v>
      </c>
      <c r="BB14" s="197">
        <f>SUBTOTAL(9,BB8:BB13)</f>
        <v>3312</v>
      </c>
      <c r="BC14" s="197">
        <f>SUBTOTAL(9,BC8:BC13)</f>
        <v>1318</v>
      </c>
      <c r="BD14" s="219">
        <f>IF(ISNUMBER(BA14/AZ14),BA14/AZ14," - ")</f>
        <v>0.924697445091887</v>
      </c>
      <c r="BE14" s="220">
        <f>IF(ISNUMBER(BB14/BA14),BB14/BA14, " - ")</f>
        <v>0.80271449345613188</v>
      </c>
      <c r="BF14" s="220">
        <f>IF(ISNUMBER(BC14/BA14),BC14/BA14, " - ")</f>
        <v>0.31943771206980126</v>
      </c>
      <c r="BG14" s="221">
        <f>IF(ISNUMBER((AY14+AZ14)/BA14),(AY14+AZ14)/BA14," - ")</f>
        <v>1.8187106156083375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2724</v>
      </c>
      <c r="J17" s="196">
        <v>4633</v>
      </c>
      <c r="K17" s="196">
        <v>4333</v>
      </c>
      <c r="L17" s="196">
        <v>2648</v>
      </c>
      <c r="M17" s="196">
        <v>566</v>
      </c>
      <c r="N17" s="196">
        <v>2701</v>
      </c>
      <c r="O17" s="194">
        <v>67</v>
      </c>
      <c r="P17" s="196">
        <v>171</v>
      </c>
      <c r="Q17" s="196">
        <v>133</v>
      </c>
      <c r="R17" s="196">
        <v>311</v>
      </c>
      <c r="S17" s="196">
        <v>2407</v>
      </c>
      <c r="T17" s="196">
        <v>4345</v>
      </c>
      <c r="U17" s="196">
        <v>3697</v>
      </c>
      <c r="V17" s="196">
        <v>2724</v>
      </c>
      <c r="W17" s="196">
        <v>734</v>
      </c>
      <c r="X17" s="202">
        <v>2151</v>
      </c>
      <c r="Y17" s="215">
        <v>0</v>
      </c>
      <c r="Z17" s="196">
        <v>0</v>
      </c>
      <c r="AA17" s="196">
        <v>0</v>
      </c>
      <c r="AB17" s="196">
        <v>0</v>
      </c>
      <c r="AC17" s="196">
        <v>0</v>
      </c>
      <c r="AD17" s="196">
        <v>69</v>
      </c>
      <c r="AE17" s="196">
        <v>69</v>
      </c>
      <c r="AF17" s="202">
        <v>0</v>
      </c>
      <c r="AG17" s="215">
        <v>0</v>
      </c>
      <c r="AH17" s="196">
        <v>0</v>
      </c>
      <c r="AI17" s="196">
        <v>0</v>
      </c>
      <c r="AJ17" s="216">
        <v>0</v>
      </c>
      <c r="AK17" s="195">
        <v>1</v>
      </c>
      <c r="AL17" s="196">
        <v>80</v>
      </c>
      <c r="AM17" s="196">
        <v>81</v>
      </c>
      <c r="AN17" s="202">
        <v>0</v>
      </c>
      <c r="AO17" s="283">
        <v>5</v>
      </c>
      <c r="AP17" s="168">
        <v>5</v>
      </c>
      <c r="AQ17" s="168">
        <v>5</v>
      </c>
      <c r="AR17" s="168">
        <v>5</v>
      </c>
      <c r="AS17" s="381" t="s">
        <v>649</v>
      </c>
      <c r="AT17" s="216"/>
      <c r="AU17" s="215"/>
      <c r="AV17" s="216"/>
      <c r="AW17" s="215"/>
      <c r="AX17" s="216"/>
      <c r="AY17" s="136">
        <f t="shared" si="10"/>
        <v>2407</v>
      </c>
      <c r="AZ17" s="137">
        <f t="shared" si="10"/>
        <v>4345</v>
      </c>
      <c r="BA17" s="137">
        <f t="shared" si="10"/>
        <v>3697</v>
      </c>
      <c r="BB17" s="137">
        <f t="shared" si="10"/>
        <v>2724</v>
      </c>
      <c r="BC17" s="135">
        <f>IF(ISNUMBER(W17),W17," - ")</f>
        <v>734</v>
      </c>
      <c r="BD17" s="136">
        <f t="shared" ref="BD17:BD22" si="12">IF(ISNUMBER(BA17/AZ17),BA17/AZ17," - ")</f>
        <v>0.85086306098964326</v>
      </c>
      <c r="BE17" s="137">
        <f t="shared" ref="BE17:BE22" si="13">IF(ISNUMBER(BB17/BA17),BB17/BA17, " - ")</f>
        <v>0.73681363267514199</v>
      </c>
      <c r="BF17" s="137">
        <f t="shared" ref="BF17:BF22" si="14">IF(ISNUMBER(BC17/BA17),BC17/BA17, " - ")</f>
        <v>0.19853935623478497</v>
      </c>
      <c r="BG17" s="209">
        <f t="shared" si="11"/>
        <v>1.8263456856911009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16</v>
      </c>
      <c r="J18" s="196">
        <v>360</v>
      </c>
      <c r="K18" s="196">
        <v>348</v>
      </c>
      <c r="L18" s="196">
        <v>29</v>
      </c>
      <c r="M18" s="196">
        <v>76</v>
      </c>
      <c r="N18" s="196">
        <v>164</v>
      </c>
      <c r="O18" s="196">
        <v>0</v>
      </c>
      <c r="P18" s="196">
        <v>14</v>
      </c>
      <c r="Q18" s="196">
        <v>2</v>
      </c>
      <c r="R18" s="196">
        <v>12</v>
      </c>
      <c r="S18" s="196">
        <v>35</v>
      </c>
      <c r="T18" s="196">
        <v>223</v>
      </c>
      <c r="U18" s="196">
        <v>242</v>
      </c>
      <c r="V18" s="196">
        <v>16</v>
      </c>
      <c r="W18" s="196">
        <v>94</v>
      </c>
      <c r="X18" s="202">
        <v>123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35</v>
      </c>
      <c r="AZ18" s="139">
        <f t="shared" si="15"/>
        <v>223</v>
      </c>
      <c r="BA18" s="139">
        <f t="shared" si="15"/>
        <v>242</v>
      </c>
      <c r="BB18" s="139">
        <f t="shared" si="15"/>
        <v>16</v>
      </c>
      <c r="BC18" s="135">
        <f>IF(ISNUMBER(W18),W18," - ")</f>
        <v>94</v>
      </c>
      <c r="BD18" s="136">
        <f>IF(ISNUMBER(BA18/AZ18),BA18/AZ18," - ")</f>
        <v>1.0852017937219731</v>
      </c>
      <c r="BE18" s="137">
        <f>IF(ISNUMBER(BB18/BA18),BB18/BA18, " - ")</f>
        <v>6.6115702479338845E-2</v>
      </c>
      <c r="BF18" s="137">
        <f>IF(ISNUMBER(BC18/BA18),BC18/BA18, " - ")</f>
        <v>0.38842975206611569</v>
      </c>
      <c r="BG18" s="209">
        <f>IF(ISNUMBER((AY18+AZ18)/BA18),(AY18+AZ18)/BA18," - ")</f>
        <v>1.0661157024793388</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37</v>
      </c>
      <c r="J21" s="196">
        <v>288</v>
      </c>
      <c r="K21" s="196">
        <v>314</v>
      </c>
      <c r="L21" s="196">
        <v>38</v>
      </c>
      <c r="M21" s="196">
        <v>290</v>
      </c>
      <c r="N21" s="196">
        <v>12</v>
      </c>
      <c r="O21" s="196">
        <v>481</v>
      </c>
      <c r="P21" s="196">
        <v>533</v>
      </c>
      <c r="Q21" s="196">
        <v>679</v>
      </c>
      <c r="R21" s="196">
        <v>1144</v>
      </c>
      <c r="S21" s="196">
        <v>89</v>
      </c>
      <c r="T21" s="196">
        <v>315</v>
      </c>
      <c r="U21" s="196">
        <v>391</v>
      </c>
      <c r="V21" s="196">
        <v>37</v>
      </c>
      <c r="W21" s="196">
        <v>373</v>
      </c>
      <c r="X21" s="202">
        <v>30</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205</v>
      </c>
      <c r="AT21" s="345"/>
      <c r="AU21" s="215"/>
      <c r="AV21" s="216"/>
      <c r="AW21" s="215"/>
      <c r="AX21" s="216"/>
      <c r="AY21" s="138">
        <f t="shared" si="16"/>
        <v>89</v>
      </c>
      <c r="AZ21" s="139">
        <f t="shared" si="17"/>
        <v>315</v>
      </c>
      <c r="BA21" s="139">
        <f t="shared" si="18"/>
        <v>391</v>
      </c>
      <c r="BB21" s="139">
        <f t="shared" si="19"/>
        <v>37</v>
      </c>
      <c r="BC21" s="135">
        <f t="shared" si="20"/>
        <v>373</v>
      </c>
      <c r="BD21" s="136">
        <f t="shared" si="12"/>
        <v>1.2412698412698413</v>
      </c>
      <c r="BE21" s="137">
        <f t="shared" si="13"/>
        <v>9.4629156010230184E-2</v>
      </c>
      <c r="BF21" s="137">
        <f t="shared" si="14"/>
        <v>0.95396419437340152</v>
      </c>
      <c r="BG21" s="209">
        <f t="shared" si="11"/>
        <v>1.0332480818414322</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2777</v>
      </c>
      <c r="J23" s="197">
        <f t="shared" si="21"/>
        <v>5281</v>
      </c>
      <c r="K23" s="197">
        <f t="shared" si="21"/>
        <v>4995</v>
      </c>
      <c r="L23" s="197">
        <f t="shared" si="21"/>
        <v>2715</v>
      </c>
      <c r="M23" s="197">
        <f t="shared" si="21"/>
        <v>932</v>
      </c>
      <c r="N23" s="197">
        <f t="shared" si="21"/>
        <v>2877</v>
      </c>
      <c r="O23" s="197">
        <f t="shared" si="21"/>
        <v>548</v>
      </c>
      <c r="P23" s="197">
        <f t="shared" si="21"/>
        <v>718</v>
      </c>
      <c r="Q23" s="197">
        <f t="shared" si="21"/>
        <v>814</v>
      </c>
      <c r="R23" s="197">
        <f t="shared" si="21"/>
        <v>1467</v>
      </c>
      <c r="S23" s="197">
        <f t="shared" si="21"/>
        <v>2531</v>
      </c>
      <c r="T23" s="197">
        <f t="shared" si="21"/>
        <v>4883</v>
      </c>
      <c r="U23" s="197">
        <f t="shared" si="21"/>
        <v>4330</v>
      </c>
      <c r="V23" s="197">
        <f t="shared" si="21"/>
        <v>2777</v>
      </c>
      <c r="W23" s="197">
        <f t="shared" si="21"/>
        <v>1201</v>
      </c>
      <c r="X23" s="197">
        <f t="shared" si="21"/>
        <v>2304</v>
      </c>
      <c r="Y23" s="197">
        <f t="shared" si="21"/>
        <v>0</v>
      </c>
      <c r="Z23" s="197">
        <f t="shared" si="21"/>
        <v>0</v>
      </c>
      <c r="AA23" s="197">
        <f t="shared" si="21"/>
        <v>0</v>
      </c>
      <c r="AB23" s="197">
        <f t="shared" si="21"/>
        <v>0</v>
      </c>
      <c r="AC23" s="197">
        <f t="shared" si="21"/>
        <v>0</v>
      </c>
      <c r="AD23" s="197">
        <f t="shared" si="21"/>
        <v>69</v>
      </c>
      <c r="AE23" s="197">
        <f t="shared" si="21"/>
        <v>69</v>
      </c>
      <c r="AF23" s="197">
        <f t="shared" si="21"/>
        <v>0</v>
      </c>
      <c r="AG23" s="197">
        <f t="shared" si="21"/>
        <v>0</v>
      </c>
      <c r="AH23" s="197">
        <f t="shared" si="21"/>
        <v>0</v>
      </c>
      <c r="AI23" s="197">
        <f t="shared" si="21"/>
        <v>0</v>
      </c>
      <c r="AJ23" s="197">
        <f t="shared" si="21"/>
        <v>0</v>
      </c>
      <c r="AK23" s="197">
        <f t="shared" si="21"/>
        <v>1</v>
      </c>
      <c r="AL23" s="197">
        <f t="shared" si="21"/>
        <v>80</v>
      </c>
      <c r="AM23" s="197">
        <f t="shared" si="21"/>
        <v>81</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2531</v>
      </c>
      <c r="AZ23" s="197">
        <f>SUBTOTAL(9,AZ15:AZ22)</f>
        <v>4883</v>
      </c>
      <c r="BA23" s="197">
        <f>SUBTOTAL(9,BA15:BA22)</f>
        <v>4330</v>
      </c>
      <c r="BB23" s="197">
        <f>SUBTOTAL(9,BB15:BB22)</f>
        <v>2777</v>
      </c>
      <c r="BC23" s="197">
        <f>SUBTOTAL(9,BC15:BC22)</f>
        <v>1201</v>
      </c>
      <c r="BD23" s="219">
        <f>IF(ISNUMBER(BA23/AZ23),BA23/AZ23," - ")</f>
        <v>0.886749948801966</v>
      </c>
      <c r="BE23" s="220">
        <f>IF(ISNUMBER(BB23/BA23),BB23/BA23, " - ")</f>
        <v>0.64133949191685913</v>
      </c>
      <c r="BF23" s="220">
        <f>IF(ISNUMBER(BC23/BA23),BC23/BA23, " - ")</f>
        <v>0.27736720554272515</v>
      </c>
      <c r="BG23" s="221">
        <f>IF(ISNUMBER((AY23+AZ23)/BA23),(AY23+AZ23)/BA23," - ")</f>
        <v>1.7122401847575057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5990</v>
      </c>
      <c r="J31" s="144">
        <f t="shared" si="36"/>
        <v>9832</v>
      </c>
      <c r="K31" s="144">
        <f t="shared" si="36"/>
        <v>9161</v>
      </c>
      <c r="L31" s="144">
        <f t="shared" si="36"/>
        <v>5847</v>
      </c>
      <c r="M31" s="144">
        <f t="shared" si="36"/>
        <v>1821</v>
      </c>
      <c r="N31" s="144">
        <f t="shared" si="36"/>
        <v>4499</v>
      </c>
      <c r="O31" s="144">
        <f t="shared" si="36"/>
        <v>2632</v>
      </c>
      <c r="P31" s="144">
        <f t="shared" si="36"/>
        <v>2141</v>
      </c>
      <c r="Q31" s="144">
        <f t="shared" si="36"/>
        <v>1618</v>
      </c>
      <c r="R31" s="144">
        <f t="shared" si="36"/>
        <v>7413</v>
      </c>
      <c r="S31" s="144">
        <f t="shared" si="36"/>
        <v>5492</v>
      </c>
      <c r="T31" s="144">
        <f t="shared" si="36"/>
        <v>8945</v>
      </c>
      <c r="U31" s="144">
        <f t="shared" si="36"/>
        <v>8066</v>
      </c>
      <c r="V31" s="144">
        <f t="shared" si="36"/>
        <v>5990</v>
      </c>
      <c r="W31" s="144">
        <f t="shared" si="36"/>
        <v>1880</v>
      </c>
      <c r="X31" s="144">
        <f t="shared" si="36"/>
        <v>3624</v>
      </c>
      <c r="Y31" s="144">
        <f t="shared" si="36"/>
        <v>99</v>
      </c>
      <c r="Z31" s="144">
        <f t="shared" si="36"/>
        <v>395</v>
      </c>
      <c r="AA31" s="144">
        <f t="shared" si="36"/>
        <v>422</v>
      </c>
      <c r="AB31" s="144">
        <f t="shared" si="36"/>
        <v>75</v>
      </c>
      <c r="AC31" s="144">
        <f t="shared" si="36"/>
        <v>0</v>
      </c>
      <c r="AD31" s="144">
        <f t="shared" si="36"/>
        <v>69</v>
      </c>
      <c r="AE31" s="144">
        <f t="shared" si="36"/>
        <v>69</v>
      </c>
      <c r="AF31" s="144">
        <f t="shared" si="36"/>
        <v>0</v>
      </c>
      <c r="AG31" s="144">
        <f t="shared" si="36"/>
        <v>81</v>
      </c>
      <c r="AH31" s="144">
        <f t="shared" si="36"/>
        <v>400</v>
      </c>
      <c r="AI31" s="144">
        <f t="shared" si="36"/>
        <v>390</v>
      </c>
      <c r="AJ31" s="144">
        <f t="shared" si="36"/>
        <v>99</v>
      </c>
      <c r="AK31" s="144">
        <f t="shared" si="36"/>
        <v>1</v>
      </c>
      <c r="AL31" s="144">
        <f t="shared" si="36"/>
        <v>80</v>
      </c>
      <c r="AM31" s="144">
        <f t="shared" si="36"/>
        <v>81</v>
      </c>
      <c r="AN31" s="224">
        <f t="shared" si="36"/>
        <v>0</v>
      </c>
      <c r="AO31" s="225">
        <v>7</v>
      </c>
      <c r="AP31" s="225">
        <v>6</v>
      </c>
      <c r="AQ31" s="225">
        <v>6</v>
      </c>
      <c r="AR31" s="225">
        <v>6</v>
      </c>
      <c r="AS31" s="166">
        <f t="shared" si="36"/>
        <v>0</v>
      </c>
      <c r="AT31" s="166">
        <f t="shared" si="36"/>
        <v>0</v>
      </c>
      <c r="AU31" s="225"/>
      <c r="AV31" s="226"/>
      <c r="AW31" s="225"/>
      <c r="AX31" s="226"/>
      <c r="AY31" s="143">
        <f>SUBTOTAL(9,AY9:AY30)</f>
        <v>5573</v>
      </c>
      <c r="AZ31" s="144">
        <f>SUBTOTAL(9,AZ9:AZ30)</f>
        <v>9345</v>
      </c>
      <c r="BA31" s="144">
        <f>SUBTOTAL(9,BA9:BA30)</f>
        <v>8456</v>
      </c>
      <c r="BB31" s="144">
        <f>SUBTOTAL(9,BB9:BB30)</f>
        <v>6089</v>
      </c>
      <c r="BC31" s="145">
        <f>SUBTOTAL(9,BC9:BC30)</f>
        <v>2519</v>
      </c>
      <c r="BD31" s="227">
        <f>IF(ISNUMBER(BA31/AZ31),BA31/AZ31," - ")</f>
        <v>0.90486891385767787</v>
      </c>
      <c r="BE31" s="224">
        <f>IF(ISNUMBER(BB31/BA31),BB31/BA31, " - ")</f>
        <v>0.72008041627246921</v>
      </c>
      <c r="BF31" s="224">
        <f>IF(ISNUMBER(BC31/BA31),BC31/BA31, " - ")</f>
        <v>0.29789498580889312</v>
      </c>
      <c r="BG31" s="145">
        <f>IF(ISNUMBER((AY31+AZ31)/BA31),(AY31+AZ31)/BA31," - ")</f>
        <v>1.7641911069063387</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7GX6mb6Yfz/PrmKCK2tmIAQbtDyxVLqoqVwe7viB8vavYcUPT8bbOhyEeTgUKYRvNT+y5JxPjiw2XjVeYjRYg==" saltValue="hKn9KxmJQR0kipR3OrnH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V6DwTFMuGJQO5QH4YEAurbFW/q18dWu+HFKHq/7/Lymx7OGvZmkA6AGO4rlaMPmaX5W2BOY+hmXm4skH9vNUg==" saltValue="ONbA2/HJRXejnvidHMdn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VINAROS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20</v>
      </c>
      <c r="AD10" s="549"/>
      <c r="AE10" s="563"/>
      <c r="AF10" s="551">
        <f>IF(ISNUMBER(Datos!L10),Datos!L10,"-")</f>
        <v>21</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0.52</v>
      </c>
      <c r="BH10" s="764">
        <f>IF(ISNUMBER(((Datos!L10/Datos!K10)*11)/factor_trimestre),((Datos!L10/Datos!K10)*11)/factor_trimestre," - ")</f>
        <v>17.76923076923077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-0.45454545454545453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320</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395</v>
      </c>
      <c r="O12" s="549"/>
      <c r="P12" s="549"/>
      <c r="Q12" s="547">
        <f>IF(ISNUMBER(Datos!P12),Datos!P12,0)</f>
        <v>1423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5922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883</v>
      </c>
      <c r="BD12" s="693">
        <f>IF(ISNUMBER(Datos!N12),Datos!N12," - ")</f>
        <v>1618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0.9296890875838244</v>
      </c>
      <c r="BH12" s="764">
        <f>IF(ISNUMBER(((IF(J_V="SI",Datos!L12/Datos!K12,(Datos!L12+Datos!AB12)/(Datos!K12+Datos!AA12)))*11)/factor_trimestre),((IF(J_V="SI",Datos!L12/Datos!K12,(Datos!L12+Datos!AB12)/(Datos!K12+Datos!AA12)))*11)/factor_trimestre," - ")</f>
        <v>7.660327868852459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0.12095400340715502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395</v>
      </c>
      <c r="O14" s="1199">
        <f t="shared" si="1"/>
        <v>0</v>
      </c>
      <c r="P14" s="1199">
        <f t="shared" si="1"/>
        <v>0</v>
      </c>
      <c r="Q14" s="1198">
        <f t="shared" si="1"/>
        <v>1423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804</v>
      </c>
      <c r="AD14" s="1198">
        <f t="shared" si="2"/>
        <v>0</v>
      </c>
      <c r="AE14" s="1198">
        <f t="shared" si="2"/>
        <v>0</v>
      </c>
      <c r="AF14" s="1198">
        <f t="shared" si="2"/>
        <v>21</v>
      </c>
      <c r="AG14" s="1198">
        <f t="shared" si="2"/>
        <v>0</v>
      </c>
      <c r="AH14" s="1198">
        <f t="shared" si="2"/>
        <v>75</v>
      </c>
      <c r="AI14" s="1198">
        <f t="shared" si="2"/>
        <v>0</v>
      </c>
      <c r="AJ14" s="1198">
        <f t="shared" si="2"/>
        <v>0</v>
      </c>
      <c r="AK14" s="1198">
        <f t="shared" si="2"/>
        <v>0</v>
      </c>
      <c r="AL14" s="1198">
        <f t="shared" si="2"/>
        <v>0</v>
      </c>
      <c r="AM14" s="1198">
        <f t="shared" si="2"/>
        <v>5946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889</v>
      </c>
      <c r="BD14" s="1198">
        <f t="shared" si="2"/>
        <v>1622</v>
      </c>
      <c r="BE14" s="1198">
        <f t="shared" si="2"/>
        <v>0</v>
      </c>
      <c r="BF14" s="1198">
        <f t="shared" si="2"/>
        <v>0</v>
      </c>
      <c r="BG14" s="1198">
        <f>IF(ISNUMBER(Datos!K14/Datos!J14),Datos!K14/Datos!J14," - ")</f>
        <v>0.91540320808613496</v>
      </c>
      <c r="BH14" s="1202">
        <f>IF(ISNUMBER(((Datos!L14/Datos!K14)*11)/factor_trimestre),((Datos!L14/Datos!K14)*11)/factor_trimestre," - ")</f>
        <v>8.2698031685069608</v>
      </c>
      <c r="BI14" s="1198">
        <f>IF(ISNUMBER('Resol  Asuntos'!D14/NºAsuntos!G14),'Resol  Asuntos'!D14/NºAsuntos!G14," - ")</f>
        <v>0.19376634699215345</v>
      </c>
      <c r="BJ14" s="1198" t="str">
        <f>IF(ISNUMBER(Datos!CI14/Datos!CJ14),Datos!CI14/Datos!CJ14," - ")</f>
        <v xml:space="preserve"> - </v>
      </c>
      <c r="BK14" s="1198">
        <f>SUBTOTAL(9,BK8:BK13)</f>
        <v>0</v>
      </c>
      <c r="BL14" s="1198">
        <f>IF(ISNUMBER((I14-AB14+L14)/(F14)),(I14-AB14+L14)/(F14)," - ")</f>
        <v>-1.4444444444444444</v>
      </c>
      <c r="BM14" s="1203">
        <f>SUBTOTAL(9,BM9:BM13)</f>
        <v>-0.33359145113829952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510</v>
      </c>
      <c r="C17" s="749" t="str">
        <f>Datos!A17</f>
        <v xml:space="preserve">Jdos. 1ª Instª. e Instr.                        </v>
      </c>
      <c r="D17" s="750"/>
      <c r="E17" s="1555">
        <f>IF(ISNUMBER(Datos!AQ17),Datos!AQ17," - ")</f>
        <v>5</v>
      </c>
      <c r="F17" s="740">
        <f>IF(ISNUMBER(AF17+AB17-Datos!J17-L17),AF17+AB17-Datos!J17-L17," - ")</f>
        <v>2348</v>
      </c>
      <c r="G17" s="743">
        <f>IF(ISNUMBER(IF(D_I="SI",Datos!I17,Datos!I17+Datos!AC17)),IF(D_I="SI",Datos!I17,Datos!I17+Datos!AC17)," - ")</f>
        <v>2724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4333</v>
      </c>
      <c r="AC17" s="240">
        <f>IF(ISNUMBER(Datos!Q17),Datos!Q17," - ")</f>
        <v>133</v>
      </c>
      <c r="AD17" s="374"/>
      <c r="AE17" s="562"/>
      <c r="AF17" s="741">
        <f>IF(ISNUMBER(IF(D_I="SI",Datos!L17,Datos!L17+Datos!AF17)),IF(D_I="SI",Datos!L17,Datos!L17+Datos!AF17)," - ")</f>
        <v>2648</v>
      </c>
      <c r="AG17" s="374"/>
      <c r="AH17" s="374"/>
      <c r="AI17" s="374"/>
      <c r="AJ17" s="549"/>
      <c r="AK17" s="374"/>
      <c r="AL17" s="545"/>
      <c r="AM17" s="375">
        <f>IF(ISNUMBER(Datos!R17),Datos!R17," - ")</f>
        <v>311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566</v>
      </c>
      <c r="BD17" s="243">
        <f>IF(ISNUMBER(Datos!N17),Datos!N17," - ")</f>
        <v>2701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0.93524714008202026</v>
      </c>
      <c r="BH17" s="764">
        <f>IF(ISNUMBER(((IF(D_I="SI",Datos!L17/Datos!K17,(Datos!L17+Datos!AF17)/(Datos!K17+Datos!AE17)))*11)/factor_trimestre),((IF(D_I="SI",Datos!L17/Datos!K17,(Datos!L17+Datos!AF17)/(Datos!K17+Datos!AE17)))*11)/factor_trimestre," - ")</f>
        <v>6.7223632587122086</v>
      </c>
      <c r="BI17" s="266">
        <f>IF(ISNUMBER('Resol  Asuntos'!D17/NºAsuntos!G17),'Resol  Asuntos'!D17/NºAsuntos!G17," - ")</f>
        <v>0.13062543272559426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348</v>
      </c>
      <c r="AC18" s="547">
        <f>IF(ISNUMBER(Datos!Q18),Datos!Q18," - ")</f>
        <v>2</v>
      </c>
      <c r="AD18" s="549"/>
      <c r="AE18" s="562"/>
      <c r="AF18" s="551">
        <f>IF(ISNUMBER(Datos!L18),Datos!L18,"-")</f>
        <v>29</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76</v>
      </c>
      <c r="BD18" s="693">
        <f>IF(ISNUMBER(Datos!N18),Datos!N18," - ")</f>
        <v>164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0.96666666666666667</v>
      </c>
      <c r="BH18" s="764">
        <f>IF(ISNUMBER(((IF(D_I="SI",Datos!L18/Datos!K18,(Datos!L18+Datos!AF18)/(Datos!K18+Datos!AE18)))*11)/factor_trimestre),((IF(D_I="SI",Datos!L18/Datos!K18,(Datos!L18+Datos!AF18)/(Datos!K18+Datos!AE18)))*11)/factor_trimestre," - ")</f>
        <v>0.91666666666666663</v>
      </c>
      <c r="BI18" s="763">
        <f>IF(ISNUMBER('Resol  Asuntos'!D18/NºAsuntos!G18),'Resol  Asuntos'!D18/NºAsuntos!G18," - ")</f>
        <v>0.21839080459770116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510</v>
      </c>
      <c r="C21" s="747" t="str">
        <f>Datos!A21</f>
        <v xml:space="preserve">Jdos. de lo Penal                               </v>
      </c>
      <c r="D21" s="601"/>
      <c r="E21" s="1380">
        <f>IF(ISNUMBER(Datos!AQ21),Datos!AQ21," - ")</f>
        <v>1</v>
      </c>
      <c r="F21" s="552">
        <f>IF(ISNUMBER(Datos!L21+Datos!K21-Datos!J21),Datos!L21+Datos!K21-Datos!J21," - ")</f>
        <v>64</v>
      </c>
      <c r="G21" s="543">
        <f>IF(ISNUMBER(Datos!I21),Datos!I21," - ")</f>
        <v>37</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533</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314</v>
      </c>
      <c r="AC21" s="547">
        <f>IF(ISNUMBER(Datos!Q21),Datos!Q21," - ")</f>
        <v>679</v>
      </c>
      <c r="AD21" s="549"/>
      <c r="AE21" s="563"/>
      <c r="AF21" s="551">
        <f>IF(ISNUMBER(Datos!L21),Datos!L21,"-")</f>
        <v>38</v>
      </c>
      <c r="AG21" s="549"/>
      <c r="AH21" s="549"/>
      <c r="AI21" s="549"/>
      <c r="AJ21" s="549"/>
      <c r="AK21" s="549"/>
      <c r="AL21" s="550"/>
      <c r="AM21" s="766">
        <f>IF(ISNUMBER(Datos!R21),Datos!R21," - ")</f>
        <v>1144</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290</v>
      </c>
      <c r="BD21" s="693"/>
      <c r="BE21" s="693" t="str">
        <f>IF(ISNUMBER(Datos!BW21),Datos!BW21," - ")</f>
        <v xml:space="preserve"> - </v>
      </c>
      <c r="BF21" s="762" t="str">
        <f>IF(ISNUMBER(Datos!BX21),Datos!BX21," - ")</f>
        <v xml:space="preserve"> - </v>
      </c>
      <c r="BG21" s="763">
        <f>IF(ISNUMBER(Datos!K21/Datos!J21),Datos!K21/Datos!J21," - ")</f>
        <v>1.0902777777777777</v>
      </c>
      <c r="BH21" s="764">
        <f>IF(ISNUMBER(((Datos!L21/Datos!K21)*11)/factor_trimestre),((Datos!L21/Datos!K21)*11)/factor_trimestre," - ")</f>
        <v>1.3312101910828025</v>
      </c>
      <c r="BI21" s="763">
        <f>IF(ISNUMBER('Resol  Asuntos'!D21/NºAsuntos!G21),'Resol  Asuntos'!D21/NºAsuntos!G21," - ")</f>
        <v>0.92356687898089174</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2412</v>
      </c>
      <c r="G23" s="1197">
        <f>SUBTOTAL(9,G16:G22)</f>
        <v>2777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4995</v>
      </c>
      <c r="AC23" s="1198">
        <f t="shared" si="5"/>
        <v>814</v>
      </c>
      <c r="AD23" s="1198">
        <f t="shared" si="5"/>
        <v>0</v>
      </c>
      <c r="AE23" s="1198">
        <f t="shared" si="5"/>
        <v>0</v>
      </c>
      <c r="AF23" s="1198">
        <f t="shared" si="5"/>
        <v>2715</v>
      </c>
      <c r="AG23" s="1198">
        <f t="shared" si="5"/>
        <v>0</v>
      </c>
      <c r="AH23" s="1198">
        <f t="shared" si="5"/>
        <v>0</v>
      </c>
      <c r="AI23" s="1198">
        <f t="shared" si="5"/>
        <v>0</v>
      </c>
      <c r="AJ23" s="1198">
        <f t="shared" si="5"/>
        <v>0</v>
      </c>
      <c r="AK23" s="1198">
        <f t="shared" si="5"/>
        <v>0</v>
      </c>
      <c r="AL23" s="1198">
        <f t="shared" si="5"/>
        <v>0</v>
      </c>
      <c r="AM23" s="1198">
        <f t="shared" si="5"/>
        <v>1467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932</v>
      </c>
      <c r="BD23" s="1198">
        <f t="shared" si="5"/>
        <v>2865</v>
      </c>
      <c r="BE23" s="1198">
        <f t="shared" si="5"/>
        <v>0</v>
      </c>
      <c r="BF23" s="1198">
        <f t="shared" si="5"/>
        <v>0</v>
      </c>
      <c r="BG23" s="1198">
        <f>IF(ISNUMBER(Datos!K23/Datos!J23),Datos!K23/Datos!J23," - ")</f>
        <v>0.94584359022912323</v>
      </c>
      <c r="BH23" s="1202">
        <f>IF(ISNUMBER(((Datos!L23/Datos!K23)*11)/factor_trimestre),((Datos!L23/Datos!K23)*11)/factor_trimestre," - ")</f>
        <v>5.9789789789789785</v>
      </c>
      <c r="BI23" s="1198">
        <f>SUBTOTAL(9,BI16:BI22)</f>
        <v>1.2725831163041872</v>
      </c>
      <c r="BJ23" s="1198">
        <f>SUBTOTAL(9,BJ16:BJ22)</f>
        <v>0</v>
      </c>
      <c r="BK23" s="1198">
        <f>SUBTOTAL(9,BK16:BK22)</f>
        <v>0</v>
      </c>
      <c r="BL23" s="1198">
        <f>IF(ISNUMBER((I23-AB23+L23)/(F23)),(I23-AB23+L23)/(F23)," - ")</f>
        <v>-2.0708955223880596</v>
      </c>
      <c r="BM23" s="1205">
        <f>IF(ISNUMBER((Datos!P23-Datos!Q23)/(Datos!R23-Datos!P23+Datos!Q23)),(Datos!P23-Datos!Q23)/(Datos!R23-Datos!P23+Datos!Q23)," - ")</f>
        <v>-6.1420345489443376E-2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11</v>
      </c>
      <c r="F31" s="1117">
        <f t="shared" si="18"/>
        <v>2421</v>
      </c>
      <c r="G31" s="1117">
        <f t="shared" si="18"/>
        <v>2786</v>
      </c>
      <c r="H31" s="1119">
        <f t="shared" si="18"/>
        <v>0</v>
      </c>
      <c r="I31" s="1117">
        <f t="shared" si="18"/>
        <v>0</v>
      </c>
      <c r="J31" s="1119">
        <f t="shared" si="18"/>
        <v>0</v>
      </c>
      <c r="K31" s="1119">
        <f t="shared" si="18"/>
        <v>0</v>
      </c>
      <c r="L31" s="1180">
        <f t="shared" si="18"/>
        <v>0</v>
      </c>
      <c r="M31" s="1180">
        <f t="shared" si="18"/>
        <v>0</v>
      </c>
      <c r="N31" s="1180">
        <f t="shared" si="18"/>
        <v>395</v>
      </c>
      <c r="O31" s="1180">
        <f t="shared" si="18"/>
        <v>0</v>
      </c>
      <c r="P31" s="1180">
        <f t="shared" si="18"/>
        <v>0</v>
      </c>
      <c r="Q31" s="1119">
        <f t="shared" si="18"/>
        <v>2141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5008</v>
      </c>
      <c r="AC31" s="1118">
        <f t="shared" si="19"/>
        <v>1618</v>
      </c>
      <c r="AD31" s="1118">
        <f t="shared" si="19"/>
        <v>0</v>
      </c>
      <c r="AE31" s="1118">
        <f t="shared" si="19"/>
        <v>0</v>
      </c>
      <c r="AF31" s="1125">
        <f t="shared" si="19"/>
        <v>2736</v>
      </c>
      <c r="AG31" s="1125">
        <f t="shared" si="19"/>
        <v>0</v>
      </c>
      <c r="AH31" s="1125">
        <f t="shared" si="19"/>
        <v>75</v>
      </c>
      <c r="AI31" s="1125">
        <f t="shared" si="19"/>
        <v>0</v>
      </c>
      <c r="AJ31" s="1118">
        <f t="shared" si="19"/>
        <v>0</v>
      </c>
      <c r="AK31" s="1125">
        <f t="shared" si="19"/>
        <v>0</v>
      </c>
      <c r="AL31" s="1125">
        <f t="shared" si="19"/>
        <v>0</v>
      </c>
      <c r="AM31" s="1125">
        <f t="shared" si="19"/>
        <v>7413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1821</v>
      </c>
      <c r="BD31" s="1117">
        <f t="shared" si="19"/>
        <v>4487</v>
      </c>
      <c r="BE31" s="1117">
        <f t="shared" si="19"/>
        <v>0</v>
      </c>
      <c r="BF31" s="1127">
        <f t="shared" si="19"/>
        <v>0</v>
      </c>
      <c r="BG31" s="1223">
        <f>IF(ISNUMBER(Datos!K31/Datos!J31),Datos!K31/Datos!J31," - ")</f>
        <v>0.93175345809601307</v>
      </c>
      <c r="BH31" s="1223">
        <f>IF(ISNUMBER(((Datos!L31/Datos!K31)*11)/factor_trimestre),((Datos!L31/Datos!K31)*11)/factor_trimestre," - ")</f>
        <v>7.0207400938762143</v>
      </c>
      <c r="BI31" s="1103">
        <f>IF(ISNUMBER(Datos!J31/Datos!I31),Datos!J31/Datos!I31," - ")</f>
        <v>1.6414023372287145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-2.0685667079719123</v>
      </c>
      <c r="BM31" s="1188">
        <f>IF(ISNUMBER((Datos!P31-Datos!Q31+R31)/(Datos!R31-Datos!P31+Datos!Q31-R31)),(Datos!P31-Datos!Q31+R31)/(Datos!R31-Datos!P31+Datos!Q31-R31)," - ")</f>
        <v>7.5907111756168363E-2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696.5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2.1924911730403043</v>
      </c>
      <c r="F33" s="673">
        <f>IF(ISNUMBER(STDEV(F8:F30)),STDEV(F8:F30),"-")</f>
        <v>1153.6771232723238</v>
      </c>
      <c r="G33" s="674">
        <f>IF(ISNUMBER(STDEV(G8:G30)),STDEV(G8:G30),"-")</f>
        <v>1267.8887963855504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2118.1164139057946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414.59407858771937</v>
      </c>
      <c r="BD33" s="673"/>
      <c r="BE33" s="673">
        <f>IF(ISNUMBER(STDEV(BE8:BE30)),STDEV(BE8:BE30),"-")</f>
        <v>0</v>
      </c>
      <c r="BF33" s="678">
        <f>IF(ISNUMBER(STDEV(BF8:BF30)),STDEV(BF8:BF30),"-")</f>
        <v>0</v>
      </c>
      <c r="BG33" s="1052">
        <f>IF(ISNUMBER(STDEV(BG8:BG30)),STDEV(BG8:BG30),"-")</f>
        <v>0.17772233786375888</v>
      </c>
      <c r="BH33" s="1058">
        <f>IF(ISNUMBER(STDEV(BH8:BH30)),STDEV(BH8:BH30),"-")</f>
        <v>5.601618970919624</v>
      </c>
      <c r="BI33" s="273">
        <f>IF(ISNUMBER(STDEV(BI8:BI30)),STDEV(BI8:BI30),"-")</f>
        <v>0.51826541876913923</v>
      </c>
      <c r="BJ33" s="244" t="str">
        <f>IF(ISNUMBER(BL33/BM33),BL33/BM33," - ")</f>
        <v xml:space="preserve"> - </v>
      </c>
      <c r="BK33" s="709"/>
      <c r="BL33" s="681">
        <f>IF(ISNUMBER(STDEV(BL8:BL30)),STDEV(BL8:BL30),"-")</f>
        <v>0.44296780529555335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eIXFm2QSJxY8BMcRTtTo3Eyn7K2/Xexeem483G8UezXIQq30VZEEfozvLsQl2K6EUhdKHS1ZkPtzxYqAKnrq3A==" saltValue="yLDgoYlF467ohC59BDdL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VINAROS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20</v>
      </c>
      <c r="AA10" s="551">
        <f>IF(ISNUMBER(Datos!L10),Datos!L10,"-")</f>
        <v>21</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17.76923076923077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-0.45454545454545453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320</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784</v>
      </c>
      <c r="AA12" s="551" t="str">
        <f>IF(ISNUMBER(IF(J_V="SI",Datos!L12,Datos!L12+Datos!AB12)-IF(Monitorios="SI",Datos!CD12,0)),
                          IF(J_V="SI",Datos!L12,Datos!L12+Datos!AB12)-IF(Monitorios="SI",Datos!CD12,0),
                          " - ")</f>
        <v xml:space="preserve"> - </v>
      </c>
      <c r="AB12" s="549"/>
      <c r="AC12" s="549"/>
      <c r="AD12" s="563"/>
      <c r="AE12" s="563">
        <f>IF(ISNUMBER(Datos!R12),Datos!R12," - ")</f>
        <v>5922</v>
      </c>
      <c r="AF12" s="693" t="str">
        <f>IF(ISNUMBER(Datos!BV12),Datos!BV12," - ")</f>
        <v xml:space="preserve"> - </v>
      </c>
      <c r="AG12" s="552" t="str">
        <f>IF(ISNUMBER(Datos!DV12),Datos!DV12," - ")</f>
        <v xml:space="preserve"> - </v>
      </c>
      <c r="AH12" s="553"/>
      <c r="AI12" s="554"/>
      <c r="AJ12" s="552">
        <f>IF(ISNUMBER(Datos!M12),Datos!M12," - ")</f>
        <v>883</v>
      </c>
      <c r="AK12" s="693">
        <f>IF(ISNUMBER(Datos!N12),Datos!N12," - ")</f>
        <v>1618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7.660327868852459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0.12095400340715502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1423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804</v>
      </c>
      <c r="AA14" s="1199">
        <f t="shared" si="3"/>
        <v>21</v>
      </c>
      <c r="AB14" s="1199">
        <f t="shared" si="3"/>
        <v>0</v>
      </c>
      <c r="AC14" s="1199">
        <f t="shared" si="3"/>
        <v>0</v>
      </c>
      <c r="AD14" s="1199">
        <f t="shared" si="3"/>
        <v>0</v>
      </c>
      <c r="AE14" s="1199">
        <f t="shared" si="3"/>
        <v>5946</v>
      </c>
      <c r="AF14" s="1211">
        <f t="shared" si="3"/>
        <v>0</v>
      </c>
      <c r="AG14" s="1211">
        <f t="shared" si="3"/>
        <v>0</v>
      </c>
      <c r="AH14" s="1211">
        <f t="shared" si="3"/>
        <v>0</v>
      </c>
      <c r="AI14" s="1211">
        <f t="shared" si="3"/>
        <v>0</v>
      </c>
      <c r="AJ14" s="1211">
        <f t="shared" si="3"/>
        <v>889</v>
      </c>
      <c r="AK14" s="1211">
        <f t="shared" si="3"/>
        <v>1622</v>
      </c>
      <c r="AL14" s="1211">
        <f t="shared" si="3"/>
        <v>0</v>
      </c>
      <c r="AM14" s="1211">
        <f t="shared" si="3"/>
        <v>0</v>
      </c>
      <c r="AN14" s="1211">
        <f t="shared" si="3"/>
        <v>0</v>
      </c>
      <c r="AO14" s="1203">
        <f>IF(ISNUMBER(((NºAsuntos!I14/NºAsuntos!G14)*11)/factor_trimestre),((NºAsuntos!I14/NºAsuntos!G14)*11)/factor_trimestre," - ")</f>
        <v>7.6889712292938102</v>
      </c>
      <c r="AP14" s="1213" t="str">
        <f>IF(ISNUMBER(Datos!CI14/Datos!CJ14),Datos!CI14/Datos!CJ14," - ")</f>
        <v xml:space="preserve"> - </v>
      </c>
      <c r="AQ14" s="1236">
        <f t="shared" ref="AQ14:AV14" si="4">SUBTOTAL(9,AQ9:AQ13)</f>
        <v>0</v>
      </c>
      <c r="AR14" s="1236">
        <f t="shared" si="4"/>
        <v>-0.33359145113829952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510</v>
      </c>
      <c r="C17" s="765" t="str">
        <f>Datos!A17</f>
        <v xml:space="preserve">Jdos. 1ª Instª. e Instr.                        </v>
      </c>
      <c r="D17" s="593"/>
      <c r="E17" s="1558">
        <f>IF(ISNUMBER(Datos!AQ17),Datos!AQ17," - ")</f>
        <v>5</v>
      </c>
      <c r="F17" s="543">
        <f>IF(ISNUMBER(AA17+Y17-Datos!J17-K16),AA17+Y17-Datos!J17-K16," - ")</f>
        <v>2348</v>
      </c>
      <c r="G17" s="552">
        <f>IF(ISNUMBER(IF(D_I="SI",Datos!I17,Datos!I17+Datos!AC17)),IF(D_I="SI",Datos!I17,Datos!I17+Datos!AC17)," - ")</f>
        <v>2724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4333</v>
      </c>
      <c r="Z17" s="805">
        <f>IF(ISNUMBER(Datos!Q17),Datos!Q17," - ")</f>
        <v>133</v>
      </c>
      <c r="AA17" s="551">
        <f>IF(ISNUMBER(IF(D_I="SI",Datos!L17,Datos!L17+Datos!AF17)),IF(D_I="SI",Datos!L17,Datos!L17+Datos!AF17)," - ")</f>
        <v>2648</v>
      </c>
      <c r="AB17" s="549"/>
      <c r="AC17" s="549"/>
      <c r="AD17" s="563"/>
      <c r="AE17" s="563">
        <f>IF(ISNUMBER(Datos!R17),Datos!R17," - ")</f>
        <v>311</v>
      </c>
      <c r="AF17" s="693" t="str">
        <f>IF(ISNUMBER(Datos!BV17),Datos!BV17," - ")</f>
        <v xml:space="preserve"> - </v>
      </c>
      <c r="AG17" s="552"/>
      <c r="AH17" s="553"/>
      <c r="AI17" s="554"/>
      <c r="AJ17" s="552">
        <f>IF(ISNUMBER(Datos!M17),Datos!M17," - ")</f>
        <v>566</v>
      </c>
      <c r="AK17" s="693">
        <f>IF(ISNUMBER(Datos!N17),Datos!N17," - ")</f>
        <v>2701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6.7223632587122086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348</v>
      </c>
      <c r="Z18" s="805">
        <f>IF(ISNUMBER(Datos!Q18),Datos!Q18," - ")</f>
        <v>2</v>
      </c>
      <c r="AA18" s="551">
        <f>IF(ISNUMBER(Datos!L18),Datos!L18,"-")</f>
        <v>29</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76</v>
      </c>
      <c r="AK18" s="693">
        <f>IF(ISNUMBER(Datos!N18),Datos!N18," - ")</f>
        <v>164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0.91666666666666663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510</v>
      </c>
      <c r="C21" s="747" t="str">
        <f>Datos!A21</f>
        <v xml:space="preserve">Jdos. de lo Penal                               </v>
      </c>
      <c r="D21" s="601"/>
      <c r="E21" s="1558">
        <f>IF(ISNUMBER(Datos!AQ21),Datos!AQ21," - ")</f>
        <v>1</v>
      </c>
      <c r="F21" s="552">
        <f>IF(ISNUMBER(Datos!L21+Datos!K21-Datos!J21),Datos!L21+Datos!K21-Datos!J21," - ")</f>
        <v>64</v>
      </c>
      <c r="G21" s="552">
        <f>IF(ISNUMBER(Datos!I21),Datos!I21," - ")</f>
        <v>37</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533</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314</v>
      </c>
      <c r="Z21" s="805">
        <f>IF(ISNUMBER(Datos!Q21),Datos!Q21," - ")</f>
        <v>679</v>
      </c>
      <c r="AA21" s="551">
        <f>IF(ISNUMBER(Datos!L21),Datos!L21,"-")</f>
        <v>38</v>
      </c>
      <c r="AB21" s="549"/>
      <c r="AC21" s="549"/>
      <c r="AD21" s="563"/>
      <c r="AE21" s="563">
        <f>IF(ISNUMBER(Datos!R21),Datos!R21," - ")</f>
        <v>1144</v>
      </c>
      <c r="AF21" s="693" t="str">
        <f>IF(ISNUMBER(Datos!BV21),Datos!BV21," - ")</f>
        <v xml:space="preserve"> - </v>
      </c>
      <c r="AG21" s="552"/>
      <c r="AH21" s="553"/>
      <c r="AI21" s="554"/>
      <c r="AJ21" s="552">
        <f>IF(ISNUMBER(Datos!M21),Datos!M21," - ")</f>
        <v>290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1.3312101910828025</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2412</v>
      </c>
      <c r="G23" s="1197">
        <f>SUBTOTAL(9,G16:G22)</f>
        <v>2777</v>
      </c>
      <c r="H23" s="1240">
        <f>SUBTOTAL(9,H16:H22)</f>
        <v>0</v>
      </c>
      <c r="I23" s="1217">
        <f>SUBTOTAL(9,I16:I22)</f>
        <v>0</v>
      </c>
      <c r="J23" s="1164">
        <f>SUBTOTAL(9,J15:J22)</f>
        <v>0</v>
      </c>
      <c r="K23" s="1240">
        <f t="shared" ref="K23:S23" si="5">SUBTOTAL(9,K16:K22)</f>
        <v>0</v>
      </c>
      <c r="L23" s="1240">
        <f t="shared" si="5"/>
        <v>0</v>
      </c>
      <c r="M23" s="1240">
        <f t="shared" si="5"/>
        <v>0</v>
      </c>
      <c r="N23" s="1240">
        <f t="shared" si="5"/>
        <v>718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4995</v>
      </c>
      <c r="Z23" s="1240">
        <f t="shared" si="6"/>
        <v>814</v>
      </c>
      <c r="AA23" s="1240">
        <f t="shared" si="6"/>
        <v>2715</v>
      </c>
      <c r="AB23" s="1240">
        <f t="shared" si="6"/>
        <v>0</v>
      </c>
      <c r="AC23" s="1240">
        <f t="shared" si="6"/>
        <v>0</v>
      </c>
      <c r="AD23" s="1240">
        <f t="shared" si="6"/>
        <v>0</v>
      </c>
      <c r="AE23" s="1240">
        <f t="shared" si="6"/>
        <v>1467</v>
      </c>
      <c r="AF23" s="1240">
        <f t="shared" si="6"/>
        <v>0</v>
      </c>
      <c r="AG23" s="1240">
        <f t="shared" si="6"/>
        <v>0</v>
      </c>
      <c r="AH23" s="1240">
        <f t="shared" si="6"/>
        <v>0</v>
      </c>
      <c r="AI23" s="1240">
        <f t="shared" si="6"/>
        <v>0</v>
      </c>
      <c r="AJ23" s="1240">
        <f t="shared" si="6"/>
        <v>932</v>
      </c>
      <c r="AK23" s="1240">
        <f t="shared" si="6"/>
        <v>2865</v>
      </c>
      <c r="AL23" s="1240">
        <f t="shared" si="6"/>
        <v>0</v>
      </c>
      <c r="AM23" s="1240">
        <f t="shared" si="6"/>
        <v>0</v>
      </c>
      <c r="AN23" s="1240">
        <f t="shared" si="6"/>
        <v>0</v>
      </c>
      <c r="AO23" s="1242">
        <f>IF(ISNUMBER(((NºAsuntos!I23/NºAsuntos!G23)*11)/factor_trimestre),((NºAsuntos!I23/NºAsuntos!G23)*11)/factor_trimestre," - ")</f>
        <v>5.9789789789789785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2421</v>
      </c>
      <c r="G31" s="1117">
        <f t="shared" si="12"/>
        <v>2786</v>
      </c>
      <c r="H31" s="1118">
        <f t="shared" si="12"/>
        <v>0</v>
      </c>
      <c r="I31" s="1117">
        <f t="shared" si="12"/>
        <v>0</v>
      </c>
      <c r="J31" s="1119">
        <f t="shared" si="12"/>
        <v>0</v>
      </c>
      <c r="K31" s="1117">
        <f t="shared" si="12"/>
        <v>0</v>
      </c>
      <c r="L31" s="1120">
        <f t="shared" si="12"/>
        <v>0</v>
      </c>
      <c r="M31" s="1117">
        <f t="shared" si="12"/>
        <v>0</v>
      </c>
      <c r="N31" s="1118">
        <f t="shared" si="12"/>
        <v>2141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5008</v>
      </c>
      <c r="Z31" s="1124">
        <f t="shared" si="13"/>
        <v>1618</v>
      </c>
      <c r="AA31" s="1125">
        <f t="shared" si="13"/>
        <v>2736</v>
      </c>
      <c r="AB31" s="1125">
        <f t="shared" si="13"/>
        <v>0</v>
      </c>
      <c r="AC31" s="1125">
        <f t="shared" si="13"/>
        <v>0</v>
      </c>
      <c r="AD31" s="1126">
        <f t="shared" si="13"/>
        <v>0</v>
      </c>
      <c r="AE31" s="1126">
        <f t="shared" si="13"/>
        <v>7413</v>
      </c>
      <c r="AF31" s="1127">
        <f t="shared" si="13"/>
        <v>0</v>
      </c>
      <c r="AG31" s="1128">
        <f t="shared" si="13"/>
        <v>0</v>
      </c>
      <c r="AH31" s="1129">
        <f t="shared" si="13"/>
        <v>0</v>
      </c>
      <c r="AI31" s="1127">
        <f t="shared" si="13"/>
        <v>0</v>
      </c>
      <c r="AJ31" s="1117">
        <f t="shared" si="13"/>
        <v>1821</v>
      </c>
      <c r="AK31" s="1117">
        <f t="shared" si="13"/>
        <v>4487</v>
      </c>
      <c r="AL31" s="1117">
        <f t="shared" si="13"/>
        <v>0</v>
      </c>
      <c r="AM31" s="1130">
        <f t="shared" si="13"/>
        <v>0</v>
      </c>
      <c r="AN31" s="1120">
        <f>IF(ISNUMBER(Datos!K31/Datos!J31),Datos!K31/Datos!J31," - ")</f>
        <v>0.93175345809601307</v>
      </c>
      <c r="AO31" s="1120">
        <f>IF(ISNUMBER(FIND("06",Criterios!A8,1)),(IF(ISNUMBER(((Datos!R31/Datos!Q31)*11)/factor_trimestre),((Datos!R31/Datos!Q31)*11)/factor_trimestre," - ")),(IF(ISNUMBER(((Datos!L31/Datos!K31)*11)/factor_trimestre),((Datos!L31/Datos!K31)*11)/factor_trimestre," - ")))</f>
        <v>7.0207400938762143</v>
      </c>
      <c r="AP31" s="1131" t="str">
        <f>IF(ISNUMBER(Datos!CI31/Datos!CJ31),Datos!CI31/Datos!CJ31," - ")</f>
        <v xml:space="preserve"> - </v>
      </c>
      <c r="AQ31" s="1131">
        <f>IF(OR(ISNUMBER(FIND("01",Criterios!A8,1)),ISNUMBER(FIND("02",Criterios!A8,1)),ISNUMBER(FIND("03",Criterios!A8,1)),ISNUMBER(FIND("04",Criterios!A8,1))),(J31-Y31+K31)/(F31-K31),(I31-Y31+K31)/(F31-K31))</f>
        <v>-2.0685667079719123</v>
      </c>
      <c r="AR31" s="1131">
        <f>IF(ISNUMBER((Datos!P31-Datos!Q31+O31)/(Datos!R31-Datos!P31+Datos!Q31-O31)),(Datos!P31-Datos!Q31+O31)/(Datos!R31-Datos!P31+Datos!Q31-O31)," - ")</f>
        <v>7.5907111756168363E-2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696.5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1153.6771232723238</v>
      </c>
      <c r="G33" s="674">
        <f>IF(ISNUMBER(STDEV(G8:G30)),STDEV(G8:G30),"-")</f>
        <v>1267.8887963855504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414.59407858771937</v>
      </c>
      <c r="AK33" s="276"/>
      <c r="AL33" s="276">
        <f>IF(ISNUMBER(STDEV(AL8:AL30)),STDEV(AL8:AL30),"-")</f>
        <v>0</v>
      </c>
      <c r="AM33" s="278">
        <f>IF(ISNUMBER(STDEV(AM8:AM30)),STDEV(AM8:AM30),"-")</f>
        <v>0</v>
      </c>
      <c r="AN33" s="660">
        <f>IF(ISNUMBER(STDEV(AN8:AN30)),STDEV(AN8:AN30),"-")</f>
        <v>0</v>
      </c>
      <c r="AO33" s="661">
        <f>IF(ISNUMBER(STDEV(AO8:AO30)),STDEV(AO8:AO30),"-")</f>
        <v>5.5830782733520881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nI7VJSF9yPvwuRlj8SesNe9y1pSIoIjWI8UEiTxVBbpOhZC3TJUW2sM2QHFHbZRak475ARsh69+p/qIcDQjJtw==" saltValue="frzayPIiX18EmEtKZjak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BBWsUB3htxlUCXaPbleffUVblCn2inNlW8DQFiUhWLAXleRDJFlpnWycMIOwkYtsMmCyPSwy5gs/xlML6fMbGw==" saltValue="z71nt58aM4stYROp+Hxm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bYrEGp9sXzz+h0p2KxLN15KbomrAgyyapEqa9w1sGPIWjWjIg+hCzIP1OI1Z0paGjssmwqkfCQqrEdID7OGFw==" saltValue="IPZ+6BFXn3SJ8wShxA63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VINAROS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0.19376634699215345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0.13701349792389728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rSFHORz/bbvvUCv4bH+uA1pFUHSPle3YR5dOS1MrZCVECakS53yCs1azpJVzlTtjcMsM2jBpL6ctmoYGKheDg==" saltValue="/84lCinp31hsjrH/bMjm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a93ubGyTFktxJHUSS7Tg188Jwa+nVkGJxuMHKQTK1HL1XPp709JNsKXZYV7VtkjIdoNee4jem4reG1mypmavjw==" saltValue="t0bnU9vtlQg4dZDxzNH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VINAROS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25</v>
      </c>
      <c r="F10" s="452">
        <f>IF(ISNUMBER(E10/B10),E10/B10," - ")</f>
        <v>25</v>
      </c>
      <c r="G10" s="451">
        <f>IF(ISNUMBER(Datos!K10),Datos!K10," - ")</f>
        <v>13</v>
      </c>
      <c r="H10" s="452">
        <f>IF(ISNUMBER(G10/B10),G10/B10," - ")</f>
        <v>13</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3303</v>
      </c>
      <c r="D12" s="452">
        <f>IF(ISNUMBER(C12/Datos!BH12),C12/Datos!BH12," - ")</f>
        <v>660.6</v>
      </c>
      <c r="E12" s="451">
        <f>IF(ISNUMBER(IF(J_V="SI",Datos!J12,Datos!J12+Datos!Z12)),IF(J_V="SI",Datos!J12,Datos!J12+Datos!Z12)," - ")</f>
        <v>4921</v>
      </c>
      <c r="F12" s="452">
        <f>IF(ISNUMBER(E12/B12),E12/B12," - ")</f>
        <v>984.2</v>
      </c>
      <c r="G12" s="451">
        <f>IF(ISNUMBER(IF(J_V="SI",Datos!K12,Datos!K12+Datos!AA12)),IF(J_V="SI",Datos!K12,Datos!K12+Datos!AA12)," - ")</f>
        <v>4575</v>
      </c>
      <c r="H12" s="452">
        <f>IF(ISNUMBER(G12/B12),G12/B12," - ")</f>
        <v>915</v>
      </c>
      <c r="I12" s="451">
        <f>IF(ISNUMBER(IF(J_V="SI",Datos!L12,Datos!L12+Datos!AB12)),IF(J_V="SI",Datos!L12,Datos!L12+Datos!AB12)," - ")</f>
        <v>3186</v>
      </c>
      <c r="J12" s="452">
        <f>IF(ISNUMBER(I12/B12),I12/B12," - ")</f>
        <v>637.20000000000005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3312</v>
      </c>
      <c r="D14" s="1147" t="str">
        <f>IF(ISNUMBER(C14/Datos!BI14),C14/Datos!BI14," - ")</f>
        <v xml:space="preserve"> - </v>
      </c>
      <c r="E14" s="1146">
        <f>SUBTOTAL(9,E8:E13)</f>
        <v>4946</v>
      </c>
      <c r="F14" s="1147">
        <f>IF(ISNUMBER(E14/B14),E14/B14," - ")</f>
        <v>989.2</v>
      </c>
      <c r="G14" s="1146">
        <f>SUBTOTAL(9,G8:G13)</f>
        <v>4588</v>
      </c>
      <c r="H14" s="1147">
        <f>IF(ISNUMBER(G14/B14),G14/B14," - ")</f>
        <v>917.6</v>
      </c>
      <c r="I14" s="1146">
        <f>SUBTOTAL(9,I8:I13)</f>
        <v>3207</v>
      </c>
      <c r="J14" s="1147">
        <f>IF(ISNUMBER(I14/B14),I14/B14," - ")</f>
        <v>641.4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2724</v>
      </c>
      <c r="D17" s="452">
        <f>IF(ISNUMBER(C17/Datos!BH17),C17/Datos!BH17," - ")</f>
        <v>544.79999999999995</v>
      </c>
      <c r="E17" s="451">
        <f>IF(ISNUMBER(IF(D_I="SI",Datos!J17,Datos!J17+Datos!AD17)),IF(D_I="SI",Datos!J17,Datos!J17+Datos!AD17)," - ")</f>
        <v>4633</v>
      </c>
      <c r="F17" s="452">
        <f>IF(ISNUMBER(E17/B17),E17/B17," - ")</f>
        <v>926.6</v>
      </c>
      <c r="G17" s="451">
        <f>IF(ISNUMBER(IF(D_I="SI",Datos!K17,Datos!K17+Datos!AE17)),IF(D_I="SI",Datos!K17,Datos!K17+Datos!AE17)," - ")</f>
        <v>4333</v>
      </c>
      <c r="H17" s="452">
        <f>IF(ISNUMBER(G17/B17),G17/B17," - ")</f>
        <v>866.6</v>
      </c>
      <c r="I17" s="451">
        <f>IF(ISNUMBER(IF(D_I="SI",Datos!L17,Datos!L17+Datos!AF17)),IF(D_I="SI",Datos!L17,Datos!L17+Datos!AF17)," - ")</f>
        <v>2648</v>
      </c>
      <c r="J17" s="452">
        <f>IF(ISNUMBER(I17/B17),I17/B17," - ")</f>
        <v>529.6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360</v>
      </c>
      <c r="F18" s="452">
        <f>IF(ISNUMBER(E18/B18),E18/B18," - ")</f>
        <v>360</v>
      </c>
      <c r="G18" s="451">
        <f>IF(ISNUMBER(IF(D_I="SI",Datos!K18,Datos!K18+Datos!AE18)),IF(D_I="SI",Datos!K18,Datos!K18+Datos!AE18)," - ")</f>
        <v>348</v>
      </c>
      <c r="H18" s="452">
        <f>IF(ISNUMBER(G18/B18),G18/B18," - ")</f>
        <v>348</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37</v>
      </c>
      <c r="D21" s="452">
        <f>IF(ISNUMBER(C21/Datos!BH21),C21/Datos!BH21," - ")</f>
        <v>37</v>
      </c>
      <c r="E21" s="451">
        <f>IF(ISNUMBER(Datos!J21),Datos!J21," - ")</f>
        <v>288</v>
      </c>
      <c r="F21" s="452">
        <f>IF(ISNUMBER(E21/B21),E21/B21," - ")</f>
        <v>288</v>
      </c>
      <c r="G21" s="451">
        <f>IF(ISNUMBER(Datos!K21),Datos!K21," - ")</f>
        <v>314</v>
      </c>
      <c r="H21" s="452">
        <f>IF(ISNUMBER(G21/B21),G21/B21," - ")</f>
        <v>314</v>
      </c>
      <c r="I21" s="451">
        <f>IF(ISNUMBER(Datos!L21),Datos!L21," - ")</f>
        <v>38</v>
      </c>
      <c r="J21" s="452">
        <f>IF(ISNUMBER(I21/B21),I21/B21," - ")</f>
        <v>38</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2777</v>
      </c>
      <c r="D23" s="1147" t="str">
        <f>IF(ISNUMBER(C23/Datos!BI23),C23/Datos!BI23," - ")</f>
        <v xml:space="preserve"> - </v>
      </c>
      <c r="E23" s="1146">
        <f>SUBTOTAL(9,E15:E22)</f>
        <v>5281</v>
      </c>
      <c r="F23" s="1147">
        <f>IF(ISNUMBER(E23/B23),E23/B23," - ")</f>
        <v>880.16666666666663</v>
      </c>
      <c r="G23" s="1146">
        <f>SUBTOTAL(9,G15:G22)</f>
        <v>4995</v>
      </c>
      <c r="H23" s="1147">
        <f>IF(ISNUMBER(G23/B23),G23/B23," - ")</f>
        <v>832.5</v>
      </c>
      <c r="I23" s="1146">
        <f>SUBTOTAL(9,I15:I22)</f>
        <v>2715</v>
      </c>
      <c r="J23" s="1147">
        <f>IF(ISNUMBER(I23/B23),I23/B23," - ")</f>
        <v>452.5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6089</v>
      </c>
      <c r="D31" s="1085" t="str">
        <f>IF(ISNUMBER(C31/Datos!BI31),C31/Datos!BI31," - ")</f>
        <v xml:space="preserve"> - </v>
      </c>
      <c r="E31" s="1084">
        <f>SUBTOTAL(9,E9:E30)</f>
        <v>10227</v>
      </c>
      <c r="F31" s="1085">
        <f>IF(ISNUMBER(E31/B31),E31/B31," - ")</f>
        <v>1704.5</v>
      </c>
      <c r="G31" s="1084">
        <f>SUBTOTAL(9,G9:G30)</f>
        <v>9583</v>
      </c>
      <c r="H31" s="1085">
        <f>IF(ISNUMBER(G31/B31),G31/B31," - ")</f>
        <v>1597.1666666666667</v>
      </c>
      <c r="I31" s="1084">
        <f>SUBTOTAL(9,I9:I30)</f>
        <v>5922</v>
      </c>
      <c r="J31" s="1085">
        <f>IF(ISNUMBER(I31/B31),I31/B31," - ")</f>
        <v>987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AuJ+x3dfZt82CzuJdIRDSiSxkvTAID/kKhqiLwxd55wAWGHqgdJXDKGRlXkSJSt+q8aU6SetkZgRMwS2ItQA==" saltValue="rnGVO0BE+NdqgWH3VRpi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VINAROS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17.76923076923077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320</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883</v>
      </c>
      <c r="AM12" s="914">
        <f>IF(ISNUMBER(Datos!N12+DatosP!N17),Datos!N12+DatosP!N17," - ")</f>
        <v>1618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7.660327868852459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0.12095400340715502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1423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784</v>
      </c>
      <c r="AE14" s="1257">
        <f t="shared" si="1"/>
        <v>0</v>
      </c>
      <c r="AF14" s="1257">
        <f t="shared" si="1"/>
        <v>21</v>
      </c>
      <c r="AG14" s="1257">
        <f t="shared" si="1"/>
        <v>0</v>
      </c>
      <c r="AH14" s="1257">
        <f t="shared" si="1"/>
        <v>5922</v>
      </c>
      <c r="AI14" s="1257">
        <f t="shared" si="1"/>
        <v>0</v>
      </c>
      <c r="AJ14" s="1257">
        <f t="shared" si="1"/>
        <v>0</v>
      </c>
      <c r="AK14" s="1257">
        <f t="shared" si="1"/>
        <v>0</v>
      </c>
      <c r="AL14" s="1257">
        <f t="shared" si="1"/>
        <v>889</v>
      </c>
      <c r="AM14" s="1257">
        <f t="shared" si="1"/>
        <v>1622</v>
      </c>
      <c r="AN14" s="1257">
        <f t="shared" si="1"/>
        <v>0</v>
      </c>
      <c r="AO14" s="1257">
        <f t="shared" si="1"/>
        <v>0</v>
      </c>
      <c r="AP14" s="1262">
        <f>IF(ISNUMBER(((Datos!L14/Datos!K14)*11)/factor_trimestre),((Datos!L14/Datos!K14)*11)/factor_trimestre," - ")</f>
        <v>8.2698031685069608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-1.4444444444444444</v>
      </c>
      <c r="AU14" s="1257" t="str">
        <f>IF(ISNUMBER((DatosP!#REF!-DatosP!#REF!+DatosP!#REF!)/(DatosP!#REF!+DatosP!#REF!-DatosP!#REF!-DatosP!#REF!)),(DatosP!#REF!-DatosP!#REF!+DatosP!#REF!)/(DatosP!#REF!+DatosP!#REF!-DatosP!#REF!-DatosP!#REF!)," - ")</f>
        <v xml:space="preserve"> - </v>
      </c>
      <c r="AV14" s="1263">
        <f>SUBTOTAL(9,AV9:AV13)</f>
        <v>0.12095400340715502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5.9789789789789785</v>
      </c>
      <c r="AQ23" s="1262">
        <f>IF(ISNUMBER(((Datos!M23/Datos!L23)*11)/factor_trimestre),((Datos!M23/Datos!L23)*11)/factor_trimestre," - ")</f>
        <v>3.7760589318600366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-6.1420345489443376E-2</v>
      </c>
      <c r="AW23" s="1265">
        <f>IF(ISNUMBER((Datos!Q23-Datos!R23)/(Datos!S23-Datos!Q23+Datos!R23)),(Datos!Q23-Datos!R23)/(Datos!S23-Datos!Q23+Datos!R23)," - ")</f>
        <v>-0.20508793969849246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1423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784</v>
      </c>
      <c r="AE31" s="1284">
        <f t="shared" si="9"/>
        <v>0</v>
      </c>
      <c r="AF31" s="1285">
        <f t="shared" si="9"/>
        <v>21</v>
      </c>
      <c r="AG31" s="1285">
        <f t="shared" si="9"/>
        <v>0</v>
      </c>
      <c r="AH31" s="1285">
        <f t="shared" si="9"/>
        <v>5922</v>
      </c>
      <c r="AI31" s="1285">
        <f t="shared" si="9"/>
        <v>0</v>
      </c>
      <c r="AJ31" s="1286">
        <f t="shared" si="9"/>
        <v>0</v>
      </c>
      <c r="AK31" s="1286">
        <f t="shared" si="9"/>
        <v>0</v>
      </c>
      <c r="AL31" s="1278">
        <f t="shared" si="9"/>
        <v>889</v>
      </c>
      <c r="AM31" s="1278">
        <f t="shared" si="9"/>
        <v>1622</v>
      </c>
      <c r="AN31" s="1278">
        <f t="shared" si="9"/>
        <v>0</v>
      </c>
      <c r="AO31" s="1278">
        <f t="shared" si="9"/>
        <v>0</v>
      </c>
      <c r="AP31" s="1278">
        <f>IF(ISNUMBER(((Datos!L31/Datos!K31)*11)/factor_trimestre),((Datos!L31/Datos!K31)*11)/factor_trimestre," - ")</f>
        <v>7.0207400938762143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-1.4444444444444444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7.5907111756168363E-2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2.2047927592204921</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456.76368799048231</v>
      </c>
      <c r="AM33" s="1006"/>
      <c r="AN33" s="1006">
        <f>IF(ISNUMBER(STDEV(AN8:AN30)),STDEV(AN8:AN30),"-")</f>
        <v>0</v>
      </c>
      <c r="AO33" s="1012">
        <f>IF(ISNUMBER(STDEV(AO8:AO30)),STDEV(AO8:AO30),"-")</f>
        <v>0</v>
      </c>
      <c r="AP33" s="1065">
        <f>IF(ISNUMBER(STDEV(AP8:AP30)),STDEV(AP8:AP30),"-")</f>
        <v>5.3220089374682269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WR66XgULzHIrst2VUR7KRHbF9IDg08TJP1tfvV9G2oHlTlSEDw7uD8swTdkvjPFO61eIOcPTQdCydBzMG5ERg==" saltValue="RSuRNAB5xfNCXJtsw/2o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VINAROS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tFlkb3H3yC0ztyNyewtc7GsBPXqwsarx7HDQ4arGIt3Sw24012d7lOf9k0cGY//o/avaKr8qaeZH71QYhp1pA==" saltValue="xON1DXCBURH6jKJfe1Yv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VINAROS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883</v>
      </c>
      <c r="E12" s="452">
        <f t="shared" si="0"/>
        <v>176.6</v>
      </c>
      <c r="F12" s="451">
        <f>IF(ISNUMBER(Datos!N12),Datos!N12," - ")</f>
        <v>1618</v>
      </c>
      <c r="G12" s="452">
        <f t="shared" si="1"/>
        <v>323.60000000000002</v>
      </c>
      <c r="H12" s="451">
        <f>IF(ISNUMBER(Datos!O12),Datos!O12," - ")</f>
        <v>2083</v>
      </c>
      <c r="I12" s="452">
        <f t="shared" si="2"/>
        <v>416.6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889</v>
      </c>
      <c r="E14" s="1147">
        <f t="shared" si="0"/>
        <v>148.16666666666666</v>
      </c>
      <c r="F14" s="1146">
        <f>SUBTOTAL(9,F9:F13)</f>
        <v>1622</v>
      </c>
      <c r="G14" s="1147">
        <f t="shared" si="1"/>
        <v>270.33333333333331</v>
      </c>
      <c r="H14" s="1146">
        <f>SUBTOTAL(9,H9:H13)</f>
        <v>2084</v>
      </c>
      <c r="I14" s="1147">
        <f>IF(ISNUMBER(H14/B14),H14/B14," - ")</f>
        <v>347.33333333333331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566</v>
      </c>
      <c r="E17" s="452">
        <f t="shared" si="3"/>
        <v>113.2</v>
      </c>
      <c r="F17" s="451">
        <f>IF(ISNUMBER(Datos!N17),Datos!N17," - ")</f>
        <v>2701</v>
      </c>
      <c r="G17" s="452">
        <f t="shared" si="4"/>
        <v>540.20000000000005</v>
      </c>
      <c r="H17" s="451">
        <f>IF(ISNUMBER(Datos!O17),Datos!O17," - ")</f>
        <v>67</v>
      </c>
      <c r="I17" s="452">
        <f t="shared" si="5"/>
        <v>13.4</v>
      </c>
    </row>
    <row r="18" spans="1:9">
      <c r="A18" s="450" t="str">
        <f>Datos!A18</f>
        <v>Jdos. Violencia contra la mujer</v>
      </c>
      <c r="B18" s="480">
        <f>Datos!AO18</f>
        <v>1</v>
      </c>
      <c r="C18" s="481">
        <f>Datos!AQ18</f>
        <v>0</v>
      </c>
      <c r="D18" s="451">
        <f>IF(ISNUMBER(Datos!M18),Datos!M18," - ")</f>
        <v>76</v>
      </c>
      <c r="E18" s="452">
        <f>IF(ISNUMBER(D18/B18),D18/B18," - ")</f>
        <v>76</v>
      </c>
      <c r="F18" s="451">
        <f>IF(ISNUMBER(Datos!N18),Datos!N18," - ")</f>
        <v>164</v>
      </c>
      <c r="G18" s="452">
        <f>IF(ISNUMBER(F18/B18),F18/B18," - ")</f>
        <v>164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290</v>
      </c>
      <c r="E21" s="452">
        <f t="shared" si="3"/>
        <v>290</v>
      </c>
      <c r="F21" s="451">
        <f>IF(ISNUMBER(Datos!N21),Datos!N21," - ")</f>
        <v>12</v>
      </c>
      <c r="G21" s="452">
        <f t="shared" si="4"/>
        <v>12</v>
      </c>
      <c r="H21" s="451">
        <f>IF(ISNUMBER(Datos!O21),Datos!O21," - ")</f>
        <v>481</v>
      </c>
      <c r="I21" s="452">
        <f t="shared" si="5"/>
        <v>481</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932</v>
      </c>
      <c r="E23" s="1147">
        <f t="shared" si="3"/>
        <v>133.14285714285714</v>
      </c>
      <c r="F23" s="1146">
        <f>SUBTOTAL(9,F16:F22)</f>
        <v>2877</v>
      </c>
      <c r="G23" s="1147">
        <f t="shared" si="4"/>
        <v>411</v>
      </c>
      <c r="H23" s="1146">
        <f>SUBTOTAL(9,H16:H22)</f>
        <v>548</v>
      </c>
      <c r="I23" s="1147">
        <f>IF(ISNUMBER(H23/B23),H23/B23," - ")</f>
        <v>78.285714285714292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1821</v>
      </c>
      <c r="E31" s="1085">
        <f>IF(ISNUMBER(D31/B31),D31/B31," - ")</f>
        <v>303.5</v>
      </c>
      <c r="F31" s="1084">
        <f>SUBTOTAL(9,F8:F30)</f>
        <v>4499</v>
      </c>
      <c r="G31" s="1085">
        <f>IF(ISNUMBER(F31/B31),F31/B31," - ")</f>
        <v>749.83333333333337</v>
      </c>
      <c r="H31" s="1084">
        <f>SUBTOTAL(9,H8:H30)</f>
        <v>2632</v>
      </c>
      <c r="I31" s="1085">
        <f>IF(ISNUMBER(H31/B31),H31/B31," - ")</f>
        <v>438.66666666666669</v>
      </c>
    </row>
    <row r="34" spans="1:1">
      <c r="A34" s="439" t="str">
        <f>Criterios!A4</f>
        <v>Fecha Informe: 14 abr. 2023</v>
      </c>
    </row>
    <row r="39" spans="1:1">
      <c r="A39" s="462"/>
    </row>
  </sheetData>
  <sheetProtection algorithmName="SHA-512" hashValue="pYaJTIGua0xtskCfYZjs2/LYd6Pv7BKWDcb1eTtlTQwaa7OBa63ejjn9nTQ1XO3bmOF9kbq/+qeQkwiIOPv2Hw==" saltValue="uwqBzEPsF7yFU27Ta1qS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VINAROS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1423</v>
      </c>
      <c r="C12" s="489">
        <f>IF(ISNUMBER(Datos!Q12),Datos!Q12," - ")</f>
        <v>784</v>
      </c>
      <c r="D12" s="456">
        <f>IF(ISNUMBER(Datos!R12),Datos!R12," - ")</f>
        <v>5922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1423</v>
      </c>
      <c r="C14" s="1150">
        <f>SUBTOTAL(9,C9:C13)</f>
        <v>804</v>
      </c>
      <c r="D14" s="1148">
        <f>SUBTOTAL(9,D9:D13)</f>
        <v>5946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171</v>
      </c>
      <c r="C17" s="489">
        <f>IF(ISNUMBER(Datos!Q17),Datos!Q17," - ")</f>
        <v>133</v>
      </c>
      <c r="D17" s="456">
        <f>IF(ISNUMBER(Datos!R17),Datos!R17," - ")</f>
        <v>311</v>
      </c>
    </row>
    <row r="18" spans="1:4">
      <c r="A18" s="450" t="str">
        <f>Datos!A18</f>
        <v>Jdos. Violencia contra la mujer</v>
      </c>
      <c r="B18" s="488">
        <f>IF(ISNUMBER(Datos!P18),Datos!P18," - ")</f>
        <v>14</v>
      </c>
      <c r="C18" s="489">
        <f>IF(ISNUMBER(Datos!Q18),Datos!Q18," - ")</f>
        <v>2</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533</v>
      </c>
      <c r="C21" s="489">
        <f>IF(ISNUMBER(Datos!Q21),Datos!Q21," - ")</f>
        <v>679</v>
      </c>
      <c r="D21" s="456">
        <f>IF(ISNUMBER(Datos!R21),Datos!R21," - ")</f>
        <v>1144</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718</v>
      </c>
      <c r="C23" s="1150">
        <f>SUBTOTAL(9,C16:C22)</f>
        <v>814</v>
      </c>
      <c r="D23" s="1148">
        <f>SUBTOTAL(9,D16:D22)</f>
        <v>1467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2141</v>
      </c>
      <c r="C31" s="1089">
        <f>SUBTOTAL(9,C8:C30)</f>
        <v>1618</v>
      </c>
      <c r="D31" s="1090">
        <f>SUBTOTAL(9,D8:D30)</f>
        <v>7413</v>
      </c>
    </row>
    <row r="32" spans="1:4" ht="7.5" customHeight="1"/>
    <row r="33" spans="1:1" ht="6" customHeight="1"/>
    <row r="34" spans="1:1">
      <c r="A34" s="439" t="str">
        <f>Criterios!A4</f>
        <v>Fecha Informe: 14 abr. 2023</v>
      </c>
    </row>
    <row r="39" spans="1:1">
      <c r="A39" s="462"/>
    </row>
  </sheetData>
  <sheetProtection algorithmName="SHA-512" hashValue="FW/SCgkOGGALgHkTT6g0ZKR7ZANyccHoxr/fTbss7Lmra1kxpl1lyaDOnga5YBLMLDzrynK3BZiqmMPoKU9LMQ==" saltValue="klt3GD2Z1lqizf8Zt9zN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VINAROS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-0.9196428571428571</v>
      </c>
      <c r="C10" s="515">
        <f>IF(ISNUMBER((Datos!J10-Datos!T10)/Datos!T10),(Datos!J10-Datos!T10)/Datos!T10," - ")</f>
        <v>-0.26470588235294118</v>
      </c>
      <c r="D10" s="515">
        <f>IF(ISNUMBER((Datos!K10-Datos!U10)/Datos!U10),(Datos!K10-Datos!U10)/Datos!U10," - ")</f>
        <v>-0.74</v>
      </c>
      <c r="E10" s="515">
        <f>IF(ISNUMBER((Datos!L10-Datos!V10)/Datos!V10),(Datos!L10-Datos!V10)/Datos!V10," - ")</f>
        <v>1.3333333333333333</v>
      </c>
      <c r="F10" s="515">
        <f>IF(ISNUMBER((Datos!M10-Datos!W10)/Datos!W10),(Datos!M10-Datos!W10)/Datos!W10," - ")</f>
        <v>-0.53846153846153844</v>
      </c>
      <c r="G10" s="516">
        <f>IF(ISNUMBER((Datos!N10-Datos!X10)/Datos!X10),(Datos!N10-Datos!X10)/Datos!X10," - ")</f>
        <v>-0.73333333333333328</v>
      </c>
      <c r="H10" s="514">
        <f>IF(ISNUMBER(((NºAsuntos!G10/NºAsuntos!E10)-Datos!BD10)/Datos!BD10),((NºAsuntos!G10/NºAsuntos!E10)-Datos!BD10)/Datos!BD10," - ")</f>
        <v>-0.64639999999999997</v>
      </c>
      <c r="I10" s="515">
        <f>IF(ISNUMBER(((NºAsuntos!I10/NºAsuntos!G10)-Datos!BE10)/Datos!BE10),((NºAsuntos!I10/NºAsuntos!G10)-Datos!BE10)/Datos!BE10," - ")</f>
        <v>7.9743589743589753</v>
      </c>
      <c r="J10" s="521">
        <f>IF(ISNUMBER((('Resol  Asuntos'!D10/NºAsuntos!G10)-Datos!BF10)/Datos!BF10),(('Resol  Asuntos'!D10/NºAsuntos!G10)-Datos!BF10)/Datos!BF10," - ")</f>
        <v>0.77514792899408291</v>
      </c>
      <c r="K10" s="522">
        <f>IF(ISNUMBER((((NºAsuntos!C10+NºAsuntos!E10)/NºAsuntos!G10)-Datos!BG10)/Datos!BG10),(((NºAsuntos!C10+NºAsuntos!E10)/NºAsuntos!G10)-Datos!BG10)/Datos!BG10," - ")</f>
        <v>-0.10432033719704949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0.1273037542662116</v>
      </c>
      <c r="C12" s="515">
        <f>IF(ISNUMBER(
   IF(J_V="SI",(Datos!J12-Datos!T12)/Datos!T12,(Datos!J12+Datos!Z12-(Datos!T12+Datos!AH12))/(Datos!T12+Datos!AH12))
     ),IF(J_V="SI",(Datos!J12-Datos!T12)/Datos!T12,(Datos!J12+Datos!Z12-(Datos!T12+Datos!AH12))/(Datos!T12+Datos!AH12))," - ")</f>
        <v>0.11133694670280037</v>
      </c>
      <c r="D12" s="515">
        <f>IF(ISNUMBER(
   IF(J_V="SI",(Datos!K12-Datos!U12)/Datos!U12,(Datos!K12+Datos!AA12-(Datos!U12+Datos!AI12))/(Datos!U12+Datos!AI12))
     ),IF(J_V="SI",(Datos!K12-Datos!U12)/Datos!U12,(Datos!K12+Datos!AA12-(Datos!U12+Datos!AI12))/(Datos!U12+Datos!AI12))," - ")</f>
        <v>0.12242394504416095</v>
      </c>
      <c r="E12" s="515">
        <f>IF(ISNUMBER(
   IF(J_V="SI",(Datos!L12-Datos!V12)/Datos!V12,(Datos!L12+Datos!AB12-(Datos!V12+Datos!AJ12))/(Datos!V12+Datos!AJ12))
     ),IF(J_V="SI",(Datos!L12-Datos!V12)/Datos!V12,(Datos!L12+Datos!AB12-(Datos!V12+Datos!AJ12))/(Datos!V12+Datos!AJ12))," - ")</f>
        <v>-3.5422343324250684E-2</v>
      </c>
      <c r="F12" s="515">
        <f>IF(ISNUMBER((Datos!M12-Datos!W12)/Datos!W12),(Datos!M12-Datos!W12)/Datos!W12," - ")</f>
        <v>0.32582582582582581</v>
      </c>
      <c r="G12" s="516">
        <f>IF(ISNUMBER((Datos!N12-Datos!X12)/Datos!X12),(Datos!N12-Datos!X12)/Datos!X12," - ")</f>
        <v>0.23984674329501915</v>
      </c>
      <c r="H12" s="514">
        <f>IF(ISNUMBER(((NºAsuntos!G12/NºAsuntos!E12)-Datos!BD12)/Datos!BD12),((NºAsuntos!G12/NºAsuntos!E12)-Datos!BD12)/Datos!BD12," - ")</f>
        <v>9.9762708099054385E-3</v>
      </c>
      <c r="I12" s="515">
        <f>IF(ISNUMBER(((NºAsuntos!I12/NºAsuntos!G12)-Datos!BE12)/Datos!BE12),((NºAsuntos!I12/NºAsuntos!G12)-Datos!BE12)/Datos!BE12," - ")</f>
        <v>-0.1406298298119445</v>
      </c>
      <c r="J12" s="521">
        <f>IF(ISNUMBER((('Resol  Asuntos'!D12/NºAsuntos!G12)-Datos!BF12)/Datos!BF12),(('Resol  Asuntos'!D12/NºAsuntos!G12)-Datos!BF12)/Datos!BF12," - ")</f>
        <v>-0.39717220442602008</v>
      </c>
      <c r="K12" s="522">
        <f>IF(ISNUMBER((((NºAsuntos!C12+NºAsuntos!E12)/NºAsuntos!G12)-Datos!BG12)/Datos!BG12),(((NºAsuntos!C12+NºAsuntos!E12)/NºAsuntos!G12)-Datos!BG12)/Datos!BG12," - ")</f>
        <v>-4.2131310925842729E-3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8.8757396449704137E-2</v>
      </c>
      <c r="C14" s="1152">
        <f>IF(ISNUMBER(
   IF(J_V="SI",(Datos!J14-Datos!T14)/Datos!T14,(Datos!J14+Datos!Z14-(Datos!T14+Datos!AH14))/(Datos!T14+Datos!AH14))
     ),IF(J_V="SI",(Datos!J14-Datos!T14)/Datos!T14,(Datos!J14+Datos!Z14-(Datos!T14+Datos!AH14))/(Datos!T14+Datos!AH14))," - ")</f>
        <v>0.1084715374271627</v>
      </c>
      <c r="D14" s="1152">
        <f>IF(ISNUMBER(
   IF(J_V="SI",(Datos!K14-Datos!U14)/Datos!U14,(Datos!K14+Datos!AA14-(Datos!U14+Datos!AI14))/(Datos!U14+Datos!AI14))
     ),IF(J_V="SI",(Datos!K14-Datos!U14)/Datos!U14,(Datos!K14+Datos!AA14-(Datos!U14+Datos!AI14))/(Datos!U14+Datos!AI14))," - ")</f>
        <v>0.11197285506543868</v>
      </c>
      <c r="E14" s="1152">
        <f>IF(ISNUMBER(
   IF(J_V="SI",(Datos!L14-Datos!V14)/Datos!V14,(Datos!L14+Datos!AB14-(Datos!V14+Datos!AJ14))/(Datos!V14+Datos!AJ14))
     ),IF(J_V="SI",(Datos!L14-Datos!V14)/Datos!V14,(Datos!L14+Datos!AB14-(Datos!V14+Datos!AJ14))/(Datos!V14+Datos!AJ14))," - ")</f>
        <v>-3.170289855072464E-2</v>
      </c>
      <c r="F14" s="1153">
        <f>IF(ISNUMBER((Datos!M14-Datos!W14)/Datos!W14),(Datos!M14-Datos!W14)/Datos!W14," - ")</f>
        <v>0.30927835051546393</v>
      </c>
      <c r="G14" s="1154">
        <f>IF(ISNUMBER((Datos!N14-Datos!X14)/Datos!X14),(Datos!N14-Datos!X14)/Datos!X14," - ")</f>
        <v>0.22878787878787879</v>
      </c>
      <c r="H14" s="1154">
        <f>IF(ISNUMBER(((NºAsuntos!G14/NºAsuntos!E14)-Datos!BD14)/Datos!BD14),((NºAsuntos!G14/NºAsuntos!E14)-Datos!BD14)/Datos!BD14," - ")</f>
        <v>3.1586897092574832E-3</v>
      </c>
      <c r="I14" s="1154">
        <f>IF(ISNUMBER(((NºAsuntos!I14/NºAsuntos!G14)-Datos!BE14)/Datos!BE14),((NºAsuntos!I14/NºAsuntos!G14)-Datos!BE14)/Datos!BE14," - ")</f>
        <v>-0.1292079684874215</v>
      </c>
      <c r="J14" s="1154">
        <f>IF(ISNUMBER((('Resol  Asuntos'!D14/NºAsuntos!G14)-Datos!BF14)/Datos!BF14),(('Resol  Asuntos'!D14/NºAsuntos!G14)-Datos!BF14)/Datos!BF14," - ")</f>
        <v>-0.39341430372562586</v>
      </c>
      <c r="K14" s="1154">
        <f>IF(ISNUMBER((((NºAsuntos!C14+NºAsuntos!E14)/NºAsuntos!G14)-Datos!BG14)/Datos!BG14),(((NºAsuntos!C14+NºAsuntos!E14)/NºAsuntos!G14)-Datos!BG14)/Datos!BG14," - ")</f>
        <v>-1.0335783716862262E-2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0.13169921063564602</v>
      </c>
      <c r="C17" s="515">
        <f>IF(ISNUMBER(
   IF(D_I="SI",(Datos!J17-Datos!T17)/Datos!T17,(Datos!J17+Datos!AD17-(Datos!T17+Datos!AL17))/(Datos!T17+Datos!AL17))
     ),IF(D_I="SI",(Datos!J17-Datos!T17)/Datos!T17,(Datos!J17+Datos!AD17-(Datos!T17+Datos!AL17))/(Datos!T17+Datos!AL17))," - ")</f>
        <v>6.6283084004602991E-2</v>
      </c>
      <c r="D17" s="515">
        <f>IF(ISNUMBER(
   IF(D_I="SI",(Datos!K17-Datos!U17)/Datos!U17,(Datos!K17+Datos!AE17-(Datos!U17+Datos!AM17))/(Datos!U17+Datos!AM17))
     ),IF(D_I="SI",(Datos!K17-Datos!U17)/Datos!U17,(Datos!K17+Datos!AE17-(Datos!U17+Datos!AM17))/(Datos!U17+Datos!AM17))," - ")</f>
        <v>0.17203137679199351</v>
      </c>
      <c r="E17" s="515">
        <f>IF(ISNUMBER(
   IF(D_I="SI",(Datos!L17-Datos!V17)/Datos!V17,(Datos!L17+Datos!AF17-(Datos!V17+Datos!AN17))/(Datos!V17+Datos!AN17))
     ),IF(D_I="SI",(Datos!L17-Datos!V17)/Datos!V17,(Datos!L17+Datos!AF17-(Datos!V17+Datos!AN17))/(Datos!V17+Datos!AN17))," - ")</f>
        <v>-2.7900146842878122E-2</v>
      </c>
      <c r="F17" s="515">
        <f>IF(ISNUMBER((Datos!M17-Datos!W17)/Datos!W17),(Datos!M17-Datos!W17)/Datos!W17," - ")</f>
        <v>-0.22888283378746593</v>
      </c>
      <c r="G17" s="516">
        <f>IF(ISNUMBER((Datos!N17-Datos!X17)/Datos!X17),(Datos!N17-Datos!X17)/Datos!X17," - ")</f>
        <v>0.25569502556950258</v>
      </c>
      <c r="H17" s="514">
        <f>IF(ISNUMBER(((NºAsuntos!G17/NºAsuntos!E17)-Datos!BD17)/Datos!BD17),((NºAsuntos!G17/NºAsuntos!E17)-Datos!BD17)/Datos!BD17," - ")</f>
        <v>9.9174688573540185E-2</v>
      </c>
      <c r="I17" s="515">
        <f>IF(ISNUMBER(((NºAsuntos!I17/NºAsuntos!G17)-Datos!BE17)/Datos!BE17),((NºAsuntos!I17/NºAsuntos!G17)-Datos!BE17)/Datos!BE17," - ")</f>
        <v>-0.17058547031574434</v>
      </c>
      <c r="J17" s="521">
        <f>IF(ISNUMBER((('Resol  Asuntos'!D17/NºAsuntos!G17)-Datos!BF17)/Datos!BF17),(('Resol  Asuntos'!D17/NºAsuntos!G17)-Datos!BF17)/Datos!BF17," - ")</f>
        <v>-0.34206781364234062</v>
      </c>
      <c r="K17" s="522">
        <f>IF(ISNUMBER((((NºAsuntos!C17+NºAsuntos!E17)/NºAsuntos!G17)-Datos!BG17)/Datos!BG17),(((NºAsuntos!C17+NºAsuntos!E17)/NºAsuntos!G17)-Datos!BG17)/Datos!BG17," - ")</f>
        <v>-7.0329427910787126E-2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-0.54285714285714282</v>
      </c>
      <c r="C18" s="515">
        <f>IF(ISNUMBER(
   IF(D_I="SI",(Datos!J18-Datos!T18)/Datos!T18,(Datos!J18+Datos!AD18-(Datos!T18+Datos!AL18))/(Datos!T18+Datos!AL18))
     ),IF(D_I="SI",(Datos!J18-Datos!T18)/Datos!T18,(Datos!J18+Datos!AD18-(Datos!T18+Datos!AL18))/(Datos!T18+Datos!AL18))," - ")</f>
        <v>0.61434977578475336</v>
      </c>
      <c r="D18" s="515">
        <f>IF(ISNUMBER(
   IF(D_I="SI",(Datos!K18-Datos!U18)/Datos!U18,(Datos!K18+Datos!AE18-(Datos!U18+Datos!AM18))/(Datos!U18+Datos!AM18))
     ),IF(D_I="SI",(Datos!K18-Datos!U18)/Datos!U18,(Datos!K18+Datos!AE18-(Datos!U18+Datos!AM18))/(Datos!U18+Datos!AM18))," - ")</f>
        <v>0.43801652892561982</v>
      </c>
      <c r="E18" s="515">
        <f>IF(ISNUMBER(
   IF(D_I="SI",(Datos!L18-Datos!V18)/Datos!V18,(Datos!L18+Datos!AF18-(Datos!V18+Datos!AN18))/(Datos!V18+Datos!AN18))
     ),IF(D_I="SI",(Datos!L18-Datos!V18)/Datos!V18,(Datos!L18+Datos!AF18-(Datos!V18+Datos!AN18))/(Datos!V18+Datos!AN18))," - ")</f>
        <v>0.8125</v>
      </c>
      <c r="F18" s="515">
        <f>IF(ISNUMBER((Datos!M18-Datos!W18)/Datos!W18),(Datos!M18-Datos!W18)/Datos!W18," - ")</f>
        <v>-0.19148936170212766</v>
      </c>
      <c r="G18" s="516">
        <f>IF(ISNUMBER((Datos!N18-Datos!X18)/Datos!X18),(Datos!N18-Datos!X18)/Datos!X18," - ")</f>
        <v>0.33333333333333331</v>
      </c>
      <c r="H18" s="514">
        <f>IF(ISNUMBER(((NºAsuntos!G18/NºAsuntos!E18)-Datos!BD18)/Datos!BD18),((NºAsuntos!G18/NºAsuntos!E18)-Datos!BD18)/Datos!BD18," - ")</f>
        <v>-0.10922865013774107</v>
      </c>
      <c r="I18" s="515">
        <f>IF(ISNUMBER(((NºAsuntos!I18/NºAsuntos!G18)-Datos!BE18)/Datos!BE18),((NºAsuntos!I18/NºAsuntos!G18)-Datos!BE18)/Datos!BE18," - ")</f>
        <v>0.26041666666666657</v>
      </c>
      <c r="J18" s="521">
        <f>IF(ISNUMBER((('Resol  Asuntos'!D18/NºAsuntos!G18)-Datos!BF18)/Datos!BF18),(('Resol  Asuntos'!D18/NºAsuntos!G18)-Datos!BF18)/Datos!BF18," - ")</f>
        <v>-0.43775984348251401</v>
      </c>
      <c r="K18" s="522">
        <f>IF(ISNUMBER((((NºAsuntos!C18+NºAsuntos!E18)/NºAsuntos!G18)-Datos!BG18)/Datos!BG18),(((NºAsuntos!C18+NºAsuntos!E18)/NºAsuntos!G18)-Datos!BG18)/Datos!BG18," - ")</f>
        <v>1.3454513053550754E-2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-0.5842696629213483</v>
      </c>
      <c r="C21" s="515">
        <f>IF(ISNUMBER((Datos!J21-Datos!T21)/Datos!T21),(Datos!J21-Datos!T21)/Datos!T21," - ")</f>
        <v>-8.5714285714285715E-2</v>
      </c>
      <c r="D21" s="515">
        <f>IF(ISNUMBER((Datos!K21-Datos!U21)/Datos!U21),(Datos!K21-Datos!U21)/Datos!U21," - ")</f>
        <v>-0.1969309462915601</v>
      </c>
      <c r="E21" s="515">
        <f>IF(ISNUMBER((Datos!L21-Datos!V21)/Datos!V21),(Datos!L21-Datos!V21)/Datos!V21," - ")</f>
        <v>2.7027027027027029E-2</v>
      </c>
      <c r="F21" s="515">
        <f>IF(ISNUMBER((Datos!M21-Datos!W21)/Datos!W21),(Datos!M21-Datos!W21)/Datos!W21," - ")</f>
        <v>-0.22252010723860591</v>
      </c>
      <c r="G21" s="516">
        <f>IF(ISNUMBER((Datos!N21-Datos!X21)/Datos!X21),(Datos!N21-Datos!X21)/Datos!X21," - ")</f>
        <v>-0.6</v>
      </c>
      <c r="H21" s="514">
        <f>IF(ISNUMBER(((NºAsuntos!G21/NºAsuntos!E21)-Datos!BD21)/Datos!BD21),((NºAsuntos!G21/NºAsuntos!E21)-Datos!BD21)/Datos!BD21," - ")</f>
        <v>-0.12164322250639396</v>
      </c>
      <c r="I21" s="515">
        <f>IF(ISNUMBER(((NºAsuntos!I21/NºAsuntos!G21)-Datos!BE21)/Datos!BE21),((NºAsuntos!I21/NºAsuntos!G21)-Datos!BE21)/Datos!BE21," - ")</f>
        <v>0.27887760371836801</v>
      </c>
      <c r="J21" s="521">
        <f>IF(ISNUMBER((('Resol  Asuntos'!D21/NºAsuntos!G21)-Datos!BF21)/Datos!BF21),(('Resol  Asuntos'!D21/NºAsuntos!G21)-Datos!BF21)/Datos!BF21," - ")</f>
        <v>-3.1864209969092026E-2</v>
      </c>
      <c r="K21" s="522">
        <f>IF(ISNUMBER((((NºAsuntos!C21+NºAsuntos!E21)/NºAsuntos!G21)-Datos!BG21)/Datos!BG21),(((NºAsuntos!C21+NºAsuntos!E21)/NºAsuntos!G21)-Datos!BG21)/Datos!BG21," - ")</f>
        <v>1.7263669042064276E-3</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9.7194784670090878E-2</v>
      </c>
      <c r="C23" s="1152">
        <f>IF(ISNUMBER(
   IF(Criterios!B14="SI",(Datos!J23-Datos!T23)/Datos!T23,(Datos!J23+Datos!AD23-(Datos!T23+Datos!AL23))/(Datos!T23+Datos!AL23))
     ),IF(Criterios!B14="SI",(Datos!J23-Datos!T23)/Datos!T23,(Datos!J23+Datos!AD23-(Datos!T23+Datos!AL23))/(Datos!T23+Datos!AL23))," - ")</f>
        <v>8.1507270120827355E-2</v>
      </c>
      <c r="D23" s="1152">
        <f>IF(ISNUMBER(
   IF(Criterios!B14="SI",(Datos!K23-Datos!U23)/Datos!U23,(Datos!K23+Datos!AE23-(Datos!U23+Datos!AM23))/(Datos!U23+Datos!AM23))
     ),IF(Criterios!B14="SI",(Datos!K23-Datos!U23)/Datos!U23,(Datos!K23+Datos!AE23-(Datos!U23+Datos!AM23))/(Datos!U23+Datos!AM23))," - ")</f>
        <v>0.1535796766743649</v>
      </c>
      <c r="E23" s="1152">
        <f>IF(ISNUMBER(
   IF(Criterios!B14="SI",(Datos!L23-Datos!V23)/Datos!V23,(Datos!L23+Datos!AF23-(Datos!V23+Datos!AN23))/(Datos!V23+Datos!AN23))
     ),IF(Criterios!B14="SI",(Datos!L23-Datos!V23)/Datos!V23,(Datos!L23+Datos!AF23-(Datos!V23+Datos!AN23))/(Datos!V23+Datos!AN23))," - ")</f>
        <v>-2.2326251350378107E-2</v>
      </c>
      <c r="F23" s="1153">
        <f>IF(ISNUMBER((Datos!M23-Datos!W23)/Datos!W23),(Datos!M23-Datos!W23)/Datos!W23," - ")</f>
        <v>-0.22398001665278935</v>
      </c>
      <c r="G23" s="1154">
        <f>IF(ISNUMBER((Datos!N23-Datos!X23)/Datos!X23),(Datos!N23-Datos!X23)/Datos!X23," - ")</f>
        <v>0.24869791666666666</v>
      </c>
      <c r="H23" s="1154">
        <f>IF(ISNUMBER(((NºAsuntos!G23/NºAsuntos!E23)-Datos!BD23)/Datos!BD23),((NºAsuntos!G23/NºAsuntos!E23)-Datos!BD23)/Datos!BD23," - ")</f>
        <v>6.6640704639447754E-2</v>
      </c>
      <c r="I23" s="1154">
        <f>IF(ISNUMBER(((NºAsuntos!I23/NºAsuntos!G23)-Datos!BE23)/Datos!BE23),((NºAsuntos!I23/NºAsuntos!G23)-Datos!BE23)/Datos!BE23," - ")</f>
        <v>-0.15248702069011763</v>
      </c>
      <c r="J23" s="1154">
        <f>IF(ISNUMBER((('Resol  Asuntos'!D23/NºAsuntos!G23)-Datos!BF23)/Datos!BF23),(('Resol  Asuntos'!D23/NºAsuntos!G23)-Datos!BF23)/Datos!BF23," - ")</f>
        <v>-0.32729398840972523</v>
      </c>
      <c r="K23" s="1154">
        <f>IF(ISNUMBER((((NºAsuntos!C23+NºAsuntos!E23)/NºAsuntos!G23)-Datos!BG23)/Datos!BG23),(((NºAsuntos!C23+NºAsuntos!E23)/NºAsuntos!G23)-Datos!BG23)/Datos!BG23," - ")</f>
        <v>-5.7834743294683862E-2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9.2589269693163473E-2</v>
      </c>
      <c r="C31" s="1092">
        <f>IF(ISNUMBER(
   IF(J_V="SI",(Datos!J31-Datos!T31)/Datos!T31,(Datos!J31+Datos!Z31-(Datos!T31+Datos!AH31))/(Datos!T31+Datos!AH31))
     ),IF(J_V="SI",(Datos!J31-Datos!T31)/Datos!T31,(Datos!J31+Datos!Z31-(Datos!T31+Datos!AH31))/(Datos!T31+Datos!AH31))," - ")</f>
        <v>9.4382022471910118E-2</v>
      </c>
      <c r="D31" s="1092">
        <f>IF(ISNUMBER(
   IF(J_V="SI",(Datos!K31-Datos!U31)/Datos!U31,(Datos!K31+Datos!AA31-(Datos!U31+Datos!AI31))/(Datos!U31+Datos!AI31))
     ),IF(J_V="SI",(Datos!K31-Datos!U31)/Datos!U31,(Datos!K31+Datos!AA31-(Datos!U31+Datos!AI31))/(Datos!U31+Datos!AI31))," - ")</f>
        <v>0.13327814569536423</v>
      </c>
      <c r="E31" s="1092">
        <f>IF(ISNUMBER(
   IF(J_V="SI",(Datos!L31-Datos!V31)/Datos!V31,(Datos!L31+Datos!AB31-(Datos!V31+Datos!AJ31))/(Datos!V31+Datos!AJ31))
     ),IF(J_V="SI",(Datos!L31-Datos!V31)/Datos!V31,(Datos!L31+Datos!AB31-(Datos!V31+Datos!AJ31))/(Datos!V31+Datos!AJ31))," - ")</f>
        <v>-2.742650681556906E-2</v>
      </c>
      <c r="F31" s="1093">
        <f>IF(ISNUMBER((Datos!M31-Datos!W31)/Datos!W31),(Datos!M31-Datos!W31)/Datos!W31," - ")</f>
        <v>-3.1382978723404252E-2</v>
      </c>
      <c r="G31" s="1094">
        <f>IF(ISNUMBER((Datos!N31-Datos!X31)/Datos!X31),(Datos!N31-Datos!X31)/Datos!X31," - ")</f>
        <v>0.2414459161147903</v>
      </c>
      <c r="H31" s="1095">
        <f>IF(ISNUMBER((Tasas!B31-Datos!BD31)/Datos!BD31),(Tasas!B31-Datos!BD31)/Datos!BD31," - ")</f>
        <v>3.5541632103566943E-2</v>
      </c>
      <c r="I31" s="1096">
        <f>IF(ISNUMBER((Tasas!C31-Datos!BE31)/Datos!BE31),(Tasas!C31-Datos!BE31)/Datos!BE31," - ")</f>
        <v>-0.14180512800088194</v>
      </c>
      <c r="J31" s="1097">
        <f>IF(ISNUMBER((Tasas!D31-Datos!BF31)/Datos!BF31),(Tasas!D31-Datos!BF31)/Datos!BF31," - ")</f>
        <v>-0.36211077766607103</v>
      </c>
      <c r="K31" s="1097">
        <f>IF(ISNUMBER((Tasas!E31-Datos!BG31)/Datos!BG31),(Tasas!E31-Datos!BG31)/Datos!BG31," - ")</f>
        <v>-3.4912745800735251E-2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0BE7YkuN0+se8+BPMljNfBU53Ejz1QhdtCQzPY3+D0PjfkS7ANqbwrzJJdvHrqAgtMOCzlCHtACXyI6U/rqg==" saltValue="OoD1ZBbh+ivBwKb9eqgb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VINAROS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0.52</v>
      </c>
      <c r="C10" s="498">
        <f>IF(ISNUMBER(NºAsuntos!I10/NºAsuntos!G10),NºAsuntos!I10/NºAsuntos!G10," - ")</f>
        <v>1.6153846153846154</v>
      </c>
      <c r="D10" s="499">
        <f>IF(ISNUMBER('Resol  Asuntos'!D10/NºAsuntos!G10),'Resol  Asuntos'!D10/NºAsuntos!G10," - ")</f>
        <v>0.46153846153846156</v>
      </c>
      <c r="E10" s="500">
        <f>IF(ISNUMBER((NºAsuntos!C10+NºAsuntos!E10)/NºAsuntos!G10),(NºAsuntos!C10+NºAsuntos!E10)/NºAsuntos!G10," - ")</f>
        <v>2.6153846153846154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0.9296890875838244</v>
      </c>
      <c r="C12" s="498">
        <f>IF(ISNUMBER(NºAsuntos!I12/NºAsuntos!G12),NºAsuntos!I12/NºAsuntos!G12," - ")</f>
        <v>0.69639344262295078</v>
      </c>
      <c r="D12" s="499">
        <f>IF(ISNUMBER('Resol  Asuntos'!D12/NºAsuntos!G12),'Resol  Asuntos'!D12/NºAsuntos!G12," - ")</f>
        <v>0.19300546448087433</v>
      </c>
      <c r="E12" s="500">
        <f>IF(ISNUMBER((NºAsuntos!C12+NºAsuntos!E12)/NºAsuntos!G12),(NºAsuntos!C12+NºAsuntos!E12)/NºAsuntos!G12," - ")</f>
        <v>1.7975956284153005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0.92761827739587543</v>
      </c>
      <c r="C14" s="1156">
        <f>IF(ISNUMBER(NºAsuntos!I14/NºAsuntos!G14),NºAsuntos!I14/NºAsuntos!G14," - ")</f>
        <v>0.69899738448125548</v>
      </c>
      <c r="D14" s="1157">
        <f>IF(ISNUMBER('Resol  Asuntos'!D14/NºAsuntos!G14),'Resol  Asuntos'!D14/NºAsuntos!G14," - ")</f>
        <v>0.19376634699215345</v>
      </c>
      <c r="E14" s="1158">
        <f>IF(ISNUMBER((NºAsuntos!C14+NºAsuntos!E14)/NºAsuntos!G14),(NºAsuntos!C14+NºAsuntos!E14)/NºAsuntos!G14," - ")</f>
        <v>1.7999128160418483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0.93524714008202026</v>
      </c>
      <c r="C17" s="498">
        <f>IF(ISNUMBER(NºAsuntos!I17/NºAsuntos!G17),NºAsuntos!I17/NºAsuntos!G17," - ")</f>
        <v>0.61112393261020082</v>
      </c>
      <c r="D17" s="499">
        <f>IF(ISNUMBER('Resol  Asuntos'!D17/NºAsuntos!G17),'Resol  Asuntos'!D17/NºAsuntos!G17," - ")</f>
        <v>0.13062543272559426</v>
      </c>
      <c r="E17" s="500">
        <f>IF(ISNUMBER((NºAsuntos!C17+NºAsuntos!E17)/NºAsuntos!G17),(NºAsuntos!C17+NºAsuntos!E17)/NºAsuntos!G17," - ")</f>
        <v>1.6978998384491115</v>
      </c>
      <c r="G17" s="523"/>
    </row>
    <row r="18" spans="1:7">
      <c r="A18" s="450" t="str">
        <f>Datos!A18</f>
        <v>Jdos. Violencia contra la mujer</v>
      </c>
      <c r="B18" s="497">
        <f>IF(ISNUMBER(NºAsuntos!G18/NºAsuntos!E18),NºAsuntos!G18/NºAsuntos!E18," - ")</f>
        <v>0.96666666666666667</v>
      </c>
      <c r="C18" s="498">
        <f>IF(ISNUMBER(NºAsuntos!I18/NºAsuntos!G18),NºAsuntos!I18/NºAsuntos!G18," - ")</f>
        <v>8.3333333333333329E-2</v>
      </c>
      <c r="D18" s="499">
        <f>IF(ISNUMBER('Resol  Asuntos'!D18/NºAsuntos!G18),'Resol  Asuntos'!D18/NºAsuntos!G18," - ")</f>
        <v>0.21839080459770116</v>
      </c>
      <c r="E18" s="500">
        <f>IF(ISNUMBER((NºAsuntos!C18+NºAsuntos!E18)/NºAsuntos!G18),(NºAsuntos!C18+NºAsuntos!E18)/NºAsuntos!G18," - ")</f>
        <v>1.0804597701149425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1.0902777777777777</v>
      </c>
      <c r="C21" s="498">
        <f>IF(ISNUMBER(NºAsuntos!I21/NºAsuntos!G21),NºAsuntos!I21/NºAsuntos!G21," - ")</f>
        <v>0.12101910828025478</v>
      </c>
      <c r="D21" s="499">
        <f>IF(ISNUMBER('Resol  Asuntos'!D21/NºAsuntos!G21),'Resol  Asuntos'!D21/NºAsuntos!G21," - ")</f>
        <v>0.92356687898089174</v>
      </c>
      <c r="E21" s="500">
        <f>IF(ISNUMBER((NºAsuntos!C21+NºAsuntos!E21)/NºAsuntos!G21),(NºAsuntos!C21+NºAsuntos!E21)/NºAsuntos!G21," - ")</f>
        <v>1.0350318471337581</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0.94584359022912323</v>
      </c>
      <c r="C23" s="1156">
        <f>IF(ISNUMBER(NºAsuntos!I23/NºAsuntos!G23),NºAsuntos!I23/NºAsuntos!G23," - ")</f>
        <v>0.54354354354354351</v>
      </c>
      <c r="D23" s="1159">
        <f>IF(ISNUMBER('Resol  Asuntos'!D23/NºAsuntos!G23),'Resol  Asuntos'!D23/NºAsuntos!G23," - ")</f>
        <v>0.18658658658658658</v>
      </c>
      <c r="E23" s="1158">
        <f>IF(ISNUMBER((NºAsuntos!C23+NºAsuntos!E23)/NºAsuntos!G23),(NºAsuntos!C23+NºAsuntos!E23)/NºAsuntos!G23," - ")</f>
        <v>1.6132132132132133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0.93702943189596166</v>
      </c>
      <c r="C31" s="1099">
        <f>IF(ISNUMBER(NºAsuntos!I31/NºAsuntos!G31),NºAsuntos!I31/NºAsuntos!G31," - ")</f>
        <v>0.61796932067202337</v>
      </c>
      <c r="D31" s="1100">
        <f>IF(ISNUMBER('Resol  Asuntos'!D31/NºAsuntos!G31),'Resol  Asuntos'!D31/NºAsuntos!G31," - ")</f>
        <v>0.19002400083481163</v>
      </c>
      <c r="E31" s="1101">
        <f>IF(ISNUMBER((NºAsuntos!C31+NºAsuntos!E31)/NºAsuntos!G31),(NºAsuntos!C31+NºAsuntos!E31)/NºAsuntos!G31," - ")</f>
        <v>1.702598351247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HjDW5MqbNMKZPSBGYt2FZQ1HNfMl6DlONbIlQR9Zqp8jwQfWO02UJTAF1BD5ASZzBbkPLJcYV3wIfyiTqtxg==" saltValue="o/dHEdkRRCkjWpS4ZeO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VINAROS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20</v>
      </c>
      <c r="Y10" s="374">
        <f t="shared" ref="Y10:Y13" si="0">SUM(W10:X10)</f>
        <v>33</v>
      </c>
      <c r="Z10" s="375" t="str">
        <f>IF(ISNUMBER(Datos!CC10),Datos!CC10," - ")</f>
        <v xml:space="preserve"> - </v>
      </c>
      <c r="AA10" s="372">
        <f>IF(ISNUMBER(Datos!L10),Datos!L10,"-")</f>
        <v>21</v>
      </c>
      <c r="AB10" s="374">
        <f>IF(ISNUMBER(Datos!R10),Datos!R10," - ")</f>
        <v>24</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0.52</v>
      </c>
      <c r="AM10" s="284">
        <f>IF(ISNUMBER(((NºAsuntos!I10/NºAsuntos!G10)*11)/factor_trimestre),((NºAsuntos!I10/NºAsuntos!G10)*11)/factor_trimestre," - ")</f>
        <v>17.76923076923077</v>
      </c>
      <c r="AN10" s="267">
        <f>IF(ISNUMBER('Resol  Asuntos'!D10/NºAsuntos!G10),'Resol  Asuntos'!D10/NºAsuntos!G10," - ")</f>
        <v>0.46153846153846156</v>
      </c>
      <c r="AO10" s="268">
        <f>IF(ISNUMBER((NºAsuntos!C10+NºAsuntos!E10)/NºAsuntos!G10),(NºAsuntos!C10+NºAsuntos!E10)/NºAsuntos!G10," - ")</f>
        <v>2.6153846153846154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320</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784</v>
      </c>
      <c r="Y12" s="374">
        <f t="shared" si="0"/>
        <v>784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883</v>
      </c>
      <c r="AJ12" s="243" t="str">
        <f>IF(ISNUMBER(Datos!BW12),Datos!BW12," - ")</f>
        <v xml:space="preserve"> - </v>
      </c>
      <c r="AK12" s="242" t="str">
        <f>IF(ISNUMBER(Datos!BX12),Datos!BX12," - ")</f>
        <v xml:space="preserve"> - </v>
      </c>
      <c r="AL12" s="266">
        <f>IF(ISNUMBER(NºAsuntos!G12/NºAsuntos!E12),NºAsuntos!G12/NºAsuntos!E12," - ")</f>
        <v>0.9296890875838244</v>
      </c>
      <c r="AM12" s="284">
        <f>IF(ISNUMBER(((NºAsuntos!I12/NºAsuntos!G12)*11)/factor_trimestre),((NºAsuntos!I12/NºAsuntos!G12)*11)/factor_trimestre," - ")</f>
        <v>7.660327868852459</v>
      </c>
      <c r="AN12" s="267">
        <f>IF(ISNUMBER('Resol  Asuntos'!D12/NºAsuntos!G12),'Resol  Asuntos'!D12/NºAsuntos!G12," - ")</f>
        <v>0.19300546448087433</v>
      </c>
      <c r="AO12" s="268">
        <f>IF(ISNUMBER((NºAsuntos!C12+NºAsuntos!E12)/NºAsuntos!G12),(NºAsuntos!C12+NºAsuntos!E12)/NºAsuntos!G12," - ")</f>
        <v>1.7975956284153005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v>
      </c>
      <c r="G14" s="1163">
        <f t="shared" si="5"/>
        <v>9</v>
      </c>
      <c r="H14" s="1162">
        <f t="shared" si="5"/>
        <v>0</v>
      </c>
      <c r="I14" s="1164">
        <f t="shared" si="5"/>
        <v>0</v>
      </c>
      <c r="J14" s="1164">
        <f t="shared" si="5"/>
        <v>0</v>
      </c>
      <c r="K14" s="1164">
        <f t="shared" si="5"/>
        <v>0</v>
      </c>
      <c r="L14" s="1164">
        <f t="shared" si="5"/>
        <v>1423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804</v>
      </c>
      <c r="Y14" s="1165">
        <f t="shared" si="6"/>
        <v>817</v>
      </c>
      <c r="Z14" s="1165">
        <f t="shared" si="6"/>
        <v>0</v>
      </c>
      <c r="AA14" s="1165">
        <f t="shared" si="6"/>
        <v>21</v>
      </c>
      <c r="AB14" s="1165">
        <f t="shared" si="6"/>
        <v>5946</v>
      </c>
      <c r="AC14" s="1165">
        <f t="shared" si="6"/>
        <v>45</v>
      </c>
      <c r="AD14" s="1165">
        <f t="shared" si="6"/>
        <v>0</v>
      </c>
      <c r="AE14" s="1169">
        <f t="shared" si="6"/>
        <v>0</v>
      </c>
      <c r="AF14" s="1162">
        <f t="shared" si="6"/>
        <v>0</v>
      </c>
      <c r="AG14" s="1170">
        <f t="shared" si="6"/>
        <v>0</v>
      </c>
      <c r="AH14" s="1167">
        <f t="shared" si="6"/>
        <v>0</v>
      </c>
      <c r="AI14" s="1162">
        <f t="shared" si="6"/>
        <v>889</v>
      </c>
      <c r="AJ14" s="1164">
        <f t="shared" si="6"/>
        <v>0</v>
      </c>
      <c r="AK14" s="1167">
        <f>SUBTOTAL(9,AK9:AK13)</f>
        <v>0</v>
      </c>
      <c r="AL14" s="1171">
        <f>IF(ISNUMBER(NºAsuntos!G14/NºAsuntos!E14),NºAsuntos!G14/NºAsuntos!E14," - ")</f>
        <v>0.92761827739587543</v>
      </c>
      <c r="AM14" s="1171">
        <f>IF(ISNUMBER(((NºAsuntos!I14/NºAsuntos!G14)*11)/factor_trimestre),((NºAsuntos!I14/NºAsuntos!G14)*11)/factor_trimestre," - ")</f>
        <v>7.6889712292938102</v>
      </c>
      <c r="AN14" s="1172">
        <f>IF(ISNUMBER('Resol  Asuntos'!D14/NºAsuntos!G14),'Resol  Asuntos'!D14/NºAsuntos!G14," - ")</f>
        <v>0.19376634699215345</v>
      </c>
      <c r="AO14" s="1173">
        <f>IF(ISNUMBER((NºAsuntos!C14+NºAsuntos!E14)/NºAsuntos!G14),(NºAsuntos!C14+NºAsuntos!E14)/NºAsuntos!G14," - ")</f>
        <v>1.7999128160418483</v>
      </c>
      <c r="AP14" s="1174" t="str">
        <f t="shared" si="2"/>
        <v xml:space="preserve"> - </v>
      </c>
      <c r="AQ14" s="1174">
        <f>IF(ISNUMBER((H14-W14+K14)/(F14)),(H14-W14+K14)/(F14)," - ")</f>
        <v>-1.4444444444444444</v>
      </c>
      <c r="AR14" s="1175">
        <f>IF(ISNUMBER((Datos!P14-Datos!Q14)/(Datos!R14-Datos!P14+Datos!Q14)),(Datos!P14-Datos!Q14)/(Datos!R14-Datos!P14+Datos!Q14)," - ")</f>
        <v>0.11620048807959452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510</v>
      </c>
      <c r="C17" s="173" t="str">
        <f>Datos!A17</f>
        <v xml:space="preserve">Jdos. 1ª Instª. e Instr.                        </v>
      </c>
      <c r="D17" s="173"/>
      <c r="E17" s="1402">
        <f>IF(ISNUMBER(Datos!AQ17),Datos!AQ17," - ")</f>
        <v>5</v>
      </c>
      <c r="F17" s="239">
        <f>IF(ISNUMBER(AA17+W17-Datos!J17-K17),AA17+W17-Datos!J17-K17," - ")</f>
        <v>2348</v>
      </c>
      <c r="G17" s="373">
        <f>IF(ISNUMBER(IF(D_I="SI",Datos!I17,Datos!I17+Datos!AC17)),IF(D_I="SI",Datos!I17,Datos!I17+Datos!AC17)," - ")</f>
        <v>2724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4333</v>
      </c>
      <c r="X17" s="240">
        <f>IF(ISNUMBER(Datos!Q17),Datos!Q17," - ")</f>
        <v>133</v>
      </c>
      <c r="Y17" s="374">
        <f t="shared" ref="Y17:Y22" si="9">SUM(W17:X17)</f>
        <v>4466</v>
      </c>
      <c r="Z17" s="375" t="str">
        <f>IF(ISNUMBER(Datos!CC17),Datos!CC17," - ")</f>
        <v xml:space="preserve"> - </v>
      </c>
      <c r="AA17" s="372">
        <f>IF(ISNUMBER(IF(D_I="SI",Datos!L17,Datos!L17+Datos!AF17)),IF(D_I="SI",Datos!L17,Datos!L17+Datos!AF17)," - ")</f>
        <v>2648</v>
      </c>
      <c r="AB17" s="374">
        <f>IF(ISNUMBER(Datos!R17),Datos!R17," - ")</f>
        <v>311</v>
      </c>
      <c r="AC17" s="374">
        <f t="shared" si="8"/>
        <v>2959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566</v>
      </c>
      <c r="AJ17" s="245" t="str">
        <f>IF(ISNUMBER(Datos!BW17),Datos!BW17," - ")</f>
        <v xml:space="preserve"> - </v>
      </c>
      <c r="AK17" s="246" t="str">
        <f>IF(ISNUMBER(Datos!BX17),Datos!BX17," - ")</f>
        <v xml:space="preserve"> - </v>
      </c>
      <c r="AL17" s="266">
        <f>IF(ISNUMBER(NºAsuntos!G17/NºAsuntos!E17),NºAsuntos!G17/NºAsuntos!E17," - ")</f>
        <v>0.93524714008202026</v>
      </c>
      <c r="AM17" s="284">
        <f>IF(ISNUMBER(((NºAsuntos!I17/NºAsuntos!G17)*11)/factor_trimestre),((NºAsuntos!I17/NºAsuntos!G17)*11)/factor_trimestre," - ")</f>
        <v>6.7223632587122086</v>
      </c>
      <c r="AN17" s="267">
        <f>IF(ISNUMBER('Resol  Asuntos'!D17/NºAsuntos!G17),'Resol  Asuntos'!D17/NºAsuntos!G17," - ")</f>
        <v>0.13062543272559426</v>
      </c>
      <c r="AO17" s="268">
        <f>IF(ISNUMBER((NºAsuntos!C17+NºAsuntos!E17)/NºAsuntos!G17),(NºAsuntos!C17+NºAsuntos!E17)/NºAsuntos!G17," - ")</f>
        <v>1.6978998384491115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348</v>
      </c>
      <c r="X18" s="240">
        <f>IF(ISNUMBER(Datos!Q18),Datos!Q18," - ")</f>
        <v>2</v>
      </c>
      <c r="Y18" s="374">
        <f t="shared" si="9"/>
        <v>350</v>
      </c>
      <c r="Z18" s="375" t="str">
        <f>IF(ISNUMBER(Datos!CC18),Datos!CC18," - ")</f>
        <v xml:space="preserve"> - </v>
      </c>
      <c r="AA18" s="372">
        <f>IF(ISNUMBER(Datos!L18),Datos!L18,"-")</f>
        <v>29</v>
      </c>
      <c r="AB18" s="374">
        <f>IF(ISNUMBER(Datos!R18),Datos!R18," - ")</f>
        <v>12</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76</v>
      </c>
      <c r="AJ18" s="245" t="str">
        <f>IF(ISNUMBER(Datos!BW18),Datos!BW18," - ")</f>
        <v xml:space="preserve"> - </v>
      </c>
      <c r="AK18" s="246" t="str">
        <f>IF(ISNUMBER(Datos!BX18),Datos!BX18," - ")</f>
        <v xml:space="preserve"> - </v>
      </c>
      <c r="AL18" s="266">
        <f>IF(ISNUMBER(NºAsuntos!G18/NºAsuntos!E18),NºAsuntos!G18/NºAsuntos!E18," - ")</f>
        <v>0.96666666666666667</v>
      </c>
      <c r="AM18" s="284">
        <f>IF(ISNUMBER(((NºAsuntos!I18/NºAsuntos!G18)*11)/factor_trimestre),((NºAsuntos!I18/NºAsuntos!G18)*11)/factor_trimestre," - ")</f>
        <v>0.91666666666666663</v>
      </c>
      <c r="AN18" s="267">
        <f>IF(ISNUMBER('Resol  Asuntos'!D18/NºAsuntos!G18),'Resol  Asuntos'!D18/NºAsuntos!G18," - ")</f>
        <v>0.21839080459770116</v>
      </c>
      <c r="AO18" s="268">
        <f>IF(ISNUMBER((NºAsuntos!C18+NºAsuntos!E18)/NºAsuntos!G18),(NºAsuntos!C18+NºAsuntos!E18)/NºAsuntos!G18," - ")</f>
        <v>1.0804597701149425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1</v>
      </c>
      <c r="F21" s="239">
        <f>IF(ISNUMBER(Datos!L21+Datos!K21-Datos!J21-K21),Datos!L21+Datos!K21-Datos!J21-K21," - ")</f>
        <v>64</v>
      </c>
      <c r="G21" s="373">
        <f>IF(ISNUMBER(Datos!I21),Datos!I21," - ")</f>
        <v>37</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533</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314</v>
      </c>
      <c r="X21" s="240">
        <f>IF(ISNUMBER(Datos!Q21),Datos!Q21," - ")</f>
        <v>679</v>
      </c>
      <c r="Y21" s="374">
        <f t="shared" si="9"/>
        <v>993</v>
      </c>
      <c r="Z21" s="375" t="str">
        <f>IF(ISNUMBER(Datos!CC21),Datos!CC21," - ")</f>
        <v xml:space="preserve"> - </v>
      </c>
      <c r="AA21" s="372">
        <f>IF(ISNUMBER(Datos!L21),Datos!L21,"-")</f>
        <v>38</v>
      </c>
      <c r="AB21" s="374">
        <f>IF(ISNUMBER(Datos!R21),Datos!R21," - ")</f>
        <v>1144</v>
      </c>
      <c r="AC21" s="374">
        <f t="shared" si="8"/>
        <v>1182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290</v>
      </c>
      <c r="AJ21" s="245" t="str">
        <f>IF(ISNUMBER(Datos!BW21),Datos!BW21," - ")</f>
        <v xml:space="preserve"> - </v>
      </c>
      <c r="AK21" s="246" t="str">
        <f>IF(ISNUMBER(Datos!BX21),Datos!BX21," - ")</f>
        <v xml:space="preserve"> - </v>
      </c>
      <c r="AL21" s="266">
        <f>IF(ISNUMBER(NºAsuntos!G21/NºAsuntos!E21),NºAsuntos!G21/NºAsuntos!E21," - ")</f>
        <v>1.0902777777777777</v>
      </c>
      <c r="AM21" s="284">
        <f>IF(ISNUMBER(((NºAsuntos!I21/NºAsuntos!G21)*11)/factor_trimestre),((NºAsuntos!I21/NºAsuntos!G21)*11)/factor_trimestre," - ")</f>
        <v>1.3312101910828025</v>
      </c>
      <c r="AN21" s="267">
        <f>IF(ISNUMBER('Resol  Asuntos'!D21/NºAsuntos!G21),'Resol  Asuntos'!D21/NºAsuntos!G21," - ")</f>
        <v>0.92356687898089174</v>
      </c>
      <c r="AO21" s="268">
        <f>IF(ISNUMBER((NºAsuntos!C21+NºAsuntos!E21)/NºAsuntos!G21),(NºAsuntos!C21+NºAsuntos!E21)/NºAsuntos!G21," - ")</f>
        <v>1.0350318471337581</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2412</v>
      </c>
      <c r="G23" s="1163">
        <f>SUBTOTAL(9,G16:G22)</f>
        <v>2777</v>
      </c>
      <c r="H23" s="1162">
        <f t="shared" ref="H23:O23" si="13">SUBTOTAL(9,H15:H22)</f>
        <v>0</v>
      </c>
      <c r="I23" s="1164">
        <f t="shared" si="13"/>
        <v>0</v>
      </c>
      <c r="J23" s="1164">
        <f t="shared" si="13"/>
        <v>0</v>
      </c>
      <c r="K23" s="1164">
        <f t="shared" si="13"/>
        <v>0</v>
      </c>
      <c r="L23" s="1164">
        <f t="shared" si="13"/>
        <v>718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4995</v>
      </c>
      <c r="X23" s="1164">
        <f t="shared" si="14"/>
        <v>814</v>
      </c>
      <c r="Y23" s="1165">
        <f t="shared" si="14"/>
        <v>5809</v>
      </c>
      <c r="Z23" s="1165">
        <f t="shared" si="14"/>
        <v>0</v>
      </c>
      <c r="AA23" s="1165">
        <f t="shared" si="14"/>
        <v>2715</v>
      </c>
      <c r="AB23" s="1165">
        <f t="shared" si="14"/>
        <v>1467</v>
      </c>
      <c r="AC23" s="1165">
        <f t="shared" si="14"/>
        <v>4182</v>
      </c>
      <c r="AD23" s="1165">
        <f t="shared" si="14"/>
        <v>0</v>
      </c>
      <c r="AE23" s="1169">
        <f t="shared" si="14"/>
        <v>0</v>
      </c>
      <c r="AF23" s="1162">
        <f t="shared" si="14"/>
        <v>0</v>
      </c>
      <c r="AG23" s="1170">
        <f t="shared" si="14"/>
        <v>0</v>
      </c>
      <c r="AH23" s="1167">
        <f t="shared" si="14"/>
        <v>0</v>
      </c>
      <c r="AI23" s="1162">
        <f t="shared" si="14"/>
        <v>932</v>
      </c>
      <c r="AJ23" s="1164">
        <f t="shared" si="14"/>
        <v>0</v>
      </c>
      <c r="AK23" s="1167">
        <f t="shared" si="14"/>
        <v>0</v>
      </c>
      <c r="AL23" s="1171">
        <f>IF(ISNUMBER(NºAsuntos!G23/NºAsuntos!E23),NºAsuntos!G23/NºAsuntos!E23," - ")</f>
        <v>0.94584359022912323</v>
      </c>
      <c r="AM23" s="1171">
        <f>IF(ISNUMBER(((NºAsuntos!I23/NºAsuntos!G23)*11)/factor_trimestre),((NºAsuntos!I23/NºAsuntos!G23)*11)/factor_trimestre," - ")</f>
        <v>5.9789789789789785</v>
      </c>
      <c r="AN23" s="1172">
        <f>IF(ISNUMBER('Resol  Asuntos'!D23/NºAsuntos!G23),'Resol  Asuntos'!D23/NºAsuntos!G23," - ")</f>
        <v>0.18658658658658658</v>
      </c>
      <c r="AO23" s="1173">
        <f>IF(ISNUMBER((NºAsuntos!C23+NºAsuntos!E23)/NºAsuntos!G23),(NºAsuntos!C23+NºAsuntos!E23)/NºAsuntos!G23," - ")</f>
        <v>1.6132132132132133</v>
      </c>
      <c r="AP23" s="1174" t="str">
        <f t="shared" si="2"/>
        <v xml:space="preserve"> - </v>
      </c>
      <c r="AQ23" s="1174">
        <f>IF(ISNUMBER((H23-W23+K23)/(F23)),(H23-W23+K23)/(F23)," - ")</f>
        <v>-2.0708955223880596</v>
      </c>
      <c r="AR23" s="1175">
        <f>IF(ISNUMBER((Datos!P23-Datos!Q23)/(Datos!R23-Datos!P23+Datos!Q23)),(Datos!P23-Datos!Q23)/(Datos!R23-Datos!P23+Datos!Q23)," - ")</f>
        <v>-6.1420345489443376E-2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2421</v>
      </c>
      <c r="G31" s="1118">
        <f t="shared" si="20"/>
        <v>2786</v>
      </c>
      <c r="H31" s="1117">
        <f t="shared" si="20"/>
        <v>0</v>
      </c>
      <c r="I31" s="1119">
        <f t="shared" si="20"/>
        <v>0</v>
      </c>
      <c r="J31" s="1119">
        <f t="shared" si="20"/>
        <v>0</v>
      </c>
      <c r="K31" s="1180">
        <f t="shared" si="20"/>
        <v>0</v>
      </c>
      <c r="L31" s="1119">
        <f t="shared" si="20"/>
        <v>2141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5008</v>
      </c>
      <c r="X31" s="1118">
        <f t="shared" si="21"/>
        <v>1618</v>
      </c>
      <c r="Y31" s="1125">
        <f t="shared" si="21"/>
        <v>6626</v>
      </c>
      <c r="Z31" s="1125">
        <f t="shared" si="21"/>
        <v>0</v>
      </c>
      <c r="AA31" s="1125">
        <f t="shared" si="21"/>
        <v>2736</v>
      </c>
      <c r="AB31" s="1125">
        <f t="shared" si="21"/>
        <v>7413</v>
      </c>
      <c r="AC31" s="1125">
        <f t="shared" si="21"/>
        <v>4227</v>
      </c>
      <c r="AD31" s="1125">
        <f t="shared" si="21"/>
        <v>0</v>
      </c>
      <c r="AE31" s="1127">
        <f t="shared" si="21"/>
        <v>0</v>
      </c>
      <c r="AF31" s="1128">
        <f t="shared" si="21"/>
        <v>0</v>
      </c>
      <c r="AG31" s="1129">
        <f t="shared" si="21"/>
        <v>0</v>
      </c>
      <c r="AH31" s="1127">
        <f t="shared" si="21"/>
        <v>0</v>
      </c>
      <c r="AI31" s="1117">
        <f t="shared" si="21"/>
        <v>1821</v>
      </c>
      <c r="AJ31" s="1117">
        <f t="shared" si="21"/>
        <v>0</v>
      </c>
      <c r="AK31" s="1127">
        <f t="shared" si="21"/>
        <v>0</v>
      </c>
      <c r="AL31" s="1183">
        <f>IF(ISNUMBER(NºAsuntos!G31/NºAsuntos!E31),NºAsuntos!G31/NºAsuntos!E31," - ")</f>
        <v>0.93702943189596166</v>
      </c>
      <c r="AM31" s="1184">
        <f>IF(ISNUMBER(((NºAsuntos!I31/NºAsuntos!G31)*11)/factor_trimestre),((NºAsuntos!I31/NºAsuntos!G31)*11)/factor_trimestre," - ")</f>
        <v>6.7976625273922568</v>
      </c>
      <c r="AN31" s="1184">
        <f>IF(ISNUMBER('Resol  Asuntos'!D31/NºAsuntos!G31),'Resol  Asuntos'!D31/NºAsuntos!G31," - ")</f>
        <v>0.19002400083481163</v>
      </c>
      <c r="AO31" s="1185">
        <f>IF(ISNUMBER((NºAsuntos!C31+NºAsuntos!E31)/NºAsuntos!G31),(NºAsuntos!C31+NºAsuntos!E31)/NºAsuntos!G31," - ")</f>
        <v>1.702598351247</v>
      </c>
      <c r="AP31" s="1186" t="str">
        <f t="shared" si="2"/>
        <v xml:space="preserve"> - </v>
      </c>
      <c r="AQ31" s="1187">
        <f>IF(OR(ISNUMBER(FIND("01",Criterios!A8,1)),ISNUMBER(FIND("02",Criterios!A8,1)),ISNUMBER(FIND("03",Criterios!A8,1)),ISNUMBER(FIND("04",Criterios!A8,1))),(I31-W31+K31)/(F31-K31),(H31-W31+K31)/(F31-K31))</f>
        <v>-2.0685667079719123</v>
      </c>
      <c r="AR31" s="1188">
        <f>IF(ISNUMBER((Datos!P31-Datos!Q31)/(Datos!R31-Datos!P31+Datos!Q31)),(Datos!P31-Datos!Q31)/(Datos!R31-Datos!P31+Datos!Q31)," - ")</f>
        <v>7.5907111756168363E-2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696.5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2.1924911730403043</v>
      </c>
      <c r="F33" s="276">
        <f>IF(ISNUMBER(STDEV(F8:F30)),STDEV(F8:F30),"-")</f>
        <v>1153.6771232723238</v>
      </c>
      <c r="G33" s="277">
        <f>IF(ISNUMBER(STDEV(G8:G30)),STDEV(G8:G30),"-")</f>
        <v>1267.8887963855504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2118.1164139057946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414.59407858771937</v>
      </c>
      <c r="AJ33" s="276">
        <f t="shared" si="25"/>
        <v>0</v>
      </c>
      <c r="AK33" s="278">
        <f t="shared" si="25"/>
        <v>0</v>
      </c>
      <c r="AL33" s="273">
        <f t="shared" si="25"/>
        <v>0.1779534847139003</v>
      </c>
      <c r="AM33" s="274">
        <f t="shared" si="25"/>
        <v>5.5830782733520881</v>
      </c>
      <c r="AN33" s="274">
        <f t="shared" si="25"/>
        <v>0.28276151558180807</v>
      </c>
      <c r="AO33" s="275">
        <f t="shared" si="25"/>
        <v>0.52935354898132092</v>
      </c>
      <c r="AP33" s="317" t="str">
        <f t="shared" si="25"/>
        <v>-</v>
      </c>
      <c r="AQ33" s="318">
        <f t="shared" si="25"/>
        <v>0.44296780529555335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1LPW8wJXGc3uXnZwHs3tF9DTyQrWRBV6kYlNuGdrGFShl+GAZx+GpVIKbGZRhvJlZULxYci643Cua3fSZ9h+tQ==" saltValue="ImYTRjGVE9LmnexK4InZ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VINAROS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-0.9196428571428571</v>
      </c>
      <c r="E10" s="393">
        <f>IF(ISNUMBER((Datos!J10-Datos!T10)/Datos!T10),(Datos!J10-Datos!T10)/Datos!T10," - ")</f>
        <v>-0.26470588235294118</v>
      </c>
      <c r="F10" s="393">
        <f>IF(ISNUMBER((Datos!K10-Datos!U10)/Datos!U10),(Datos!K10-Datos!U10)/Datos!U10," - ")</f>
        <v>-0.74</v>
      </c>
      <c r="G10" s="394">
        <f>IF(ISNUMBER((Datos!L10-Datos!V10)/Datos!V10),(Datos!L10-Datos!V10)/Datos!V10," - ")</f>
        <v>1.3333333333333333</v>
      </c>
      <c r="H10" s="244">
        <f>IF(ISNUMBER((Datos!M10-Datos!W10)/Datos!W10),(Datos!M10-Datos!W10)/Datos!W10," - ")</f>
        <v>-0.53846153846153844</v>
      </c>
      <c r="I10" s="395">
        <f>IF(ISNUMBER((Tasas!C10-Datos!BE10)/Datos!BE10),(Tasas!C10-Datos!BE10)/Datos!BE10," - ")</f>
        <v>7.9743589743589753</v>
      </c>
      <c r="J10" s="394">
        <f>IF(ISNUMBER((Tasas!D10-Datos!BF10)/Datos!BF10),(Tasas!D10-Datos!BF10)/Datos!BF10," - ")</f>
        <v>0.77514792899408291</v>
      </c>
      <c r="K10" s="396">
        <f>IF(ISNUMBER((Tasas!E10-Datos!BG10)/Datos!BG10),(Tasas!E10-Datos!BG10)/Datos!BG10," - ")</f>
        <v>-0.10432033719704949</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0.32582582582582581</v>
      </c>
      <c r="I12" s="395">
        <f>IF(ISNUMBER((Tasas!C12-Datos!BE12)/Datos!BE12),(Tasas!C12-Datos!BE12)/Datos!BE12," - ")</f>
        <v>-0.1406298298119445</v>
      </c>
      <c r="J12" s="394">
        <f>IF(ISNUMBER((Tasas!D12-Datos!BF12)/Datos!BF12),(Tasas!D12-Datos!BF12)/Datos!BF12," - ")</f>
        <v>-0.39717220442602008</v>
      </c>
      <c r="K12" s="396">
        <f>IF(ISNUMBER((Tasas!E12-Datos!BG12)/Datos!BG12),(Tasas!E12-Datos!BG12)/Datos!BG12," - ")</f>
        <v>-4.2131310925842729E-3</v>
      </c>
      <c r="M12" t="e">
        <f>IF(Monitorios="SI",Datos!CE12,0)</f>
        <v>#REF!</v>
      </c>
      <c r="N12" t="e">
        <f>IF(Monitorios="SI",Datos!CF12,0)</f>
        <v>#REF!</v>
      </c>
      <c r="O12" t="e">
        <f>IF(Monitorios="SI",Datos!CG12,0)</f>
        <v>#REF!</v>
      </c>
      <c r="P12" t="e">
        <f>IF(Monitorios="SI",Datos!CH12,0)</f>
        <v>#REF!</v>
      </c>
      <c r="Q12">
        <f>IF(J_V="SI",0,Datos!AG12)</f>
        <v>81</v>
      </c>
      <c r="R12">
        <f>IF(J_V="SI",0,Datos!AH12)</f>
        <v>400</v>
      </c>
      <c r="S12">
        <f>IF(J_V="SI",0,Datos!AI12)</f>
        <v>390</v>
      </c>
      <c r="T12">
        <f>IF(J_V="SI",0,Datos!AJ12)</f>
        <v>99</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0.30927835051546393</v>
      </c>
      <c r="I14" s="402">
        <f>IF(ISNUMBER((Tasas!C14-Datos!BE14)/Datos!BE14),(Tasas!C14-Datos!BE14)/Datos!BE14," - ")</f>
        <v>-0.1292079684874215</v>
      </c>
      <c r="J14" s="400">
        <f>IF(ISNUMBER((Tasas!D14-Datos!BF14)/Datos!BF14),(Tasas!D14-Datos!BF14)/Datos!BF14," - ")</f>
        <v>-0.39341430372562586</v>
      </c>
      <c r="K14" s="403">
        <f>IF(ISNUMBER((Tasas!E14-Datos!BG14)/Datos!BG14),(Tasas!E14-Datos!BG14)/Datos!BG14," - ")</f>
        <v>-1.0335783716862262E-2</v>
      </c>
      <c r="M14" t="e">
        <f>IF(Monitorios="SI",Datos!CE14,0)</f>
        <v>#REF!</v>
      </c>
      <c r="N14" t="e">
        <f>IF(Monitorios="SI",Datos!CF14,0)</f>
        <v>#REF!</v>
      </c>
      <c r="O14" t="e">
        <f>IF(Monitorios="SI",Datos!CG14,0)</f>
        <v>#REF!</v>
      </c>
      <c r="P14" t="e">
        <f>IF(Monitorios="SI",Datos!CH14,0)</f>
        <v>#REF!</v>
      </c>
      <c r="Q14">
        <f>IF(J_V="SI",0,Datos!AG14)</f>
        <v>81</v>
      </c>
      <c r="R14">
        <f>IF(J_V="SI",0,Datos!AH14)</f>
        <v>400</v>
      </c>
      <c r="S14">
        <f>IF(J_V="SI",0,Datos!AI14)</f>
        <v>390</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0.13169921063564602</v>
      </c>
      <c r="E17" s="393">
        <f>IF(ISNUMBER(
   IF(D_I="SI",(Datos!J17-Datos!T17)/Datos!T17,(Datos!J17+Datos!AD17-(Datos!T17+Datos!AL17))/(Datos!T17+Datos!AL17))
     ),IF(D_I="SI",(Datos!J17-Datos!T17)/Datos!T17,(Datos!J17+Datos!AD17-(Datos!T17+Datos!AL17))/(Datos!T17+Datos!AL17))," - ")</f>
        <v>6.6283084004602991E-2</v>
      </c>
      <c r="F17" s="393">
        <f>IF(ISNUMBER(
   IF(D_I="SI",(Datos!K17-Datos!U17)/Datos!U17,(Datos!K17+Datos!AE17-(Datos!U17+Datos!AM17))/(Datos!U17+Datos!AM17))
     ),IF(D_I="SI",(Datos!K17-Datos!U17)/Datos!U17,(Datos!K17+Datos!AE17-(Datos!U17+Datos!AM17))/(Datos!U17+Datos!AM17))," - ")</f>
        <v>0.17203137679199351</v>
      </c>
      <c r="G17" s="394">
        <f>IF(ISNUMBER(
   IF(D_I="SI",(Datos!L17-Datos!V17)/Datos!V17,(Datos!L17+Datos!AF17-(Datos!V17+Datos!AN17))/(Datos!V17+Datos!AN17))
     ),IF(D_I="SI",(Datos!L17-Datos!V17)/Datos!V17,(Datos!L17+Datos!AF17-(Datos!V17+Datos!AN17))/(Datos!V17+Datos!AN17))," - ")</f>
        <v>-2.7900146842878122E-2</v>
      </c>
      <c r="H17" s="244">
        <f>IF(ISNUMBER((Datos!M17-Datos!W17)/Datos!W17),(Datos!M17-Datos!W17)/Datos!W17," - ")</f>
        <v>-0.22888283378746593</v>
      </c>
      <c r="I17" s="395">
        <f>IF(ISNUMBER((Tasas!C17-Datos!BE17)/Datos!BE17),(Tasas!C17-Datos!BE17)/Datos!BE17," - ")</f>
        <v>-0.17058547031574434</v>
      </c>
      <c r="J17" s="394">
        <f>IF(ISNUMBER((Tasas!D17-Datos!BF17)/Datos!BF17),(Tasas!D17-Datos!BF17)/Datos!BF17," - ")</f>
        <v>-0.34206781364234062</v>
      </c>
      <c r="K17" s="396">
        <f>IF(ISNUMBER((Tasas!E17-Datos!BG17)/Datos!BG17),(Tasas!E17-Datos!BG17)/Datos!BG17," - ")</f>
        <v>-7.0329427910787126E-2</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-0.54285714285714282</v>
      </c>
      <c r="E18" s="393">
        <f>IF(ISNUMBER(
   IF(D_I="SI",(Datos!J18-Datos!T18)/Datos!T18,(Datos!J18+Datos!AD18-(Datos!T18+Datos!AL18))/(Datos!T18+Datos!AL18))
     ),IF(D_I="SI",(Datos!J18-Datos!T18)/Datos!T18,(Datos!J18+Datos!AD18-(Datos!T18+Datos!AL18))/(Datos!T18+Datos!AL18))," - ")</f>
        <v>0.61434977578475336</v>
      </c>
      <c r="F18" s="393">
        <f>IF(ISNUMBER(
   IF(D_I="SI",(Datos!K18-Datos!U18)/Datos!U18,(Datos!K18+Datos!AE18-(Datos!U18+Datos!AM18))/(Datos!U18+Datos!AM18))
     ),IF(D_I="SI",(Datos!K18-Datos!U18)/Datos!U18,(Datos!K18+Datos!AE18-(Datos!U18+Datos!AM18))/(Datos!U18+Datos!AM18))," - ")</f>
        <v>0.43801652892561982</v>
      </c>
      <c r="G18" s="394">
        <f>IF(ISNUMBER(
   IF(D_I="SI",(Datos!L18-Datos!V18)/Datos!V18,(Datos!L18+Datos!AF18-(Datos!V18+Datos!AN18))/(Datos!V18+Datos!AN18))
     ),IF(D_I="SI",(Datos!L18-Datos!V18)/Datos!V18,(Datos!L18+Datos!AF18-(Datos!V18+Datos!AN18))/(Datos!V18+Datos!AN18))," - ")</f>
        <v>0.8125</v>
      </c>
      <c r="H18" s="244">
        <f>IF(ISNUMBER((Datos!M18-Datos!W18)/Datos!W18),(Datos!M18-Datos!W18)/Datos!W18," - ")</f>
        <v>-0.19148936170212766</v>
      </c>
      <c r="I18" s="395">
        <f>IF(ISNUMBER((Tasas!C18-Datos!BE18)/Datos!BE18),(Tasas!C18-Datos!BE18)/Datos!BE18," - ")</f>
        <v>0.26041666666666657</v>
      </c>
      <c r="J18" s="394">
        <f>IF(ISNUMBER((Tasas!D18-Datos!BF18)/Datos!BF18),(Tasas!D18-Datos!BF18)/Datos!BF18," - ")</f>
        <v>-0.43775984348251401</v>
      </c>
      <c r="K18" s="396">
        <f>IF(ISNUMBER((Tasas!E18-Datos!BG18)/Datos!BG18),(Tasas!E18-Datos!BG18)/Datos!BG18," - ")</f>
        <v>1.3454513053550754E-2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-0.5842696629213483</v>
      </c>
      <c r="E21" s="393">
        <f>IF(ISNUMBER((Datos!J21-Datos!T21)/Datos!T21),(Datos!J21-Datos!T21)/Datos!T21," - ")</f>
        <v>-8.5714285714285715E-2</v>
      </c>
      <c r="F21" s="393">
        <f>IF(ISNUMBER((Datos!K21-Datos!U21)/Datos!U21),(Datos!K21-Datos!U21)/Datos!U21," - ")</f>
        <v>-0.1969309462915601</v>
      </c>
      <c r="G21" s="394">
        <f>IF(ISNUMBER((Datos!L21-Datos!V21)/Datos!V21),(Datos!L21-Datos!V21)/Datos!V21," - ")</f>
        <v>2.7027027027027029E-2</v>
      </c>
      <c r="H21" s="244">
        <f>IF(ISNUMBER((Datos!M21-Datos!W21)/Datos!W21),(Datos!M21-Datos!W21)/Datos!W21," - ")</f>
        <v>-0.22252010723860591</v>
      </c>
      <c r="I21" s="395">
        <f>IF(ISNUMBER((Tasas!C21-Datos!BE21)/Datos!BE21),(Tasas!C21-Datos!BE21)/Datos!BE21," - ")</f>
        <v>0.27887760371836801</v>
      </c>
      <c r="J21" s="394">
        <f>IF(ISNUMBER((Tasas!D21-Datos!BF21)/Datos!BF21),(Tasas!D21-Datos!BF21)/Datos!BF21," - ")</f>
        <v>-3.1864209969092026E-2</v>
      </c>
      <c r="K21" s="396">
        <f>IF(ISNUMBER((Tasas!E21-Datos!BG21)/Datos!BG21),(Tasas!E21-Datos!BG21)/Datos!BG21," - ")</f>
        <v>1.7263669042064276E-3</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9.7194784670090878E-2</v>
      </c>
      <c r="E23" s="399">
        <f>IF(ISNUMBER(
   IF(D_I="SI",(Datos!J23-Datos!T23)/Datos!T23,(Datos!J23+Datos!AD23-(Datos!T23+Datos!AL23))/(Datos!T23+Datos!AL23))
     ),IF(D_I="SI",(Datos!J23-Datos!T23)/Datos!T23,(Datos!J23+Datos!AD23-(Datos!T23+Datos!AL23))/(Datos!T23+Datos!AL23))," - ")</f>
        <v>8.1507270120827355E-2</v>
      </c>
      <c r="F23" s="399">
        <f>IF(ISNUMBER(
   IF(D_I="SI",(Datos!K23-Datos!U23)/Datos!U23,(Datos!K23+Datos!AE23-(Datos!U23+Datos!AM23))/(Datos!U23+Datos!AM23))
     ),IF(D_I="SI",(Datos!K23-Datos!U23)/Datos!U23,(Datos!K23+Datos!AE23-(Datos!U23+Datos!AM23))/(Datos!U23+Datos!AM23))," - ")</f>
        <v>0.1535796766743649</v>
      </c>
      <c r="G23" s="400">
        <f>IF(ISNUMBER(
   IF(D_I="SI",(Datos!L23-Datos!V23)/Datos!V23,(Datos!L23+Datos!AF23-(Datos!V23+Datos!AN23))/(Datos!V23+Datos!AN23))
     ),IF(D_I="SI",(Datos!L23-Datos!V23)/Datos!V23,(Datos!L23+Datos!AF23-(Datos!V23+Datos!AN23))/(Datos!V23+Datos!AN23))," - ")</f>
        <v>-2.2326251350378107E-2</v>
      </c>
      <c r="H23" s="401">
        <f>IF(ISNUMBER((Datos!M23-Datos!W23)/Datos!W23),(Datos!M23-Datos!W23)/Datos!W23," - ")</f>
        <v>-0.22398001665278935</v>
      </c>
      <c r="I23" s="402">
        <f>IF(ISNUMBER((Tasas!C23-Datos!BE23)/Datos!BE23),(Tasas!C23-Datos!BE23)/Datos!BE23," - ")</f>
        <v>-0.15248702069011763</v>
      </c>
      <c r="J23" s="400">
        <f>IF(ISNUMBER((Tasas!D23-Datos!BF23)/Datos!BF23),(Tasas!D23-Datos!BF23)/Datos!BF23," - ")</f>
        <v>-0.32729398840972523</v>
      </c>
      <c r="K23" s="403">
        <f>IF(ISNUMBER((Tasas!E23-Datos!BG23)/Datos!BG23),(Tasas!E23-Datos!BG23)/Datos!BG23," - ")</f>
        <v>-5.7834743294683862E-2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9.2589269693163473E-2</v>
      </c>
      <c r="E31" s="409">
        <f>IF(ISNUMBER(
   IF(J_V="SI",(Datos!J31-Datos!T31)/Datos!T31,(Datos!J31+Datos!Z31-(Datos!T31+Datos!AH31))/(Datos!T31+Datos!AH31))
     ),IF(J_V="SI",(Datos!J31-Datos!T31)/Datos!T31,(Datos!J31+Datos!Z31-(Datos!T31+Datos!AH31))/(Datos!T31+Datos!AH31))," - ")</f>
        <v>9.4382022471910118E-2</v>
      </c>
      <c r="F31" s="409">
        <f>IF(ISNUMBER(
   IF(J_V="SI",(Datos!K31-Datos!U31)/Datos!U31,(Datos!K31+Datos!AA31-(Datos!U31+Datos!AI31))/(Datos!U31+Datos!AI31))
     ),IF(J_V="SI",(Datos!K31-Datos!U31)/Datos!U31,(Datos!K31+Datos!AA31-(Datos!U31+Datos!AI31))/(Datos!U31+Datos!AI31))," - ")</f>
        <v>0.13327814569536423</v>
      </c>
      <c r="G31" s="410">
        <f>IF(ISNUMBER(
   IF(J_V="SI",(Datos!L31-Datos!V31)/Datos!V31,(Datos!L31+Datos!AB31-(Datos!V31+Datos!AJ31))/(Datos!V31+Datos!AJ31))
     ),IF(J_V="SI",(Datos!L31-Datos!V31)/Datos!V31,(Datos!L31+Datos!AB31-(Datos!V31+Datos!AJ31))/(Datos!V31+Datos!AJ31))," - ")</f>
        <v>-2.742650681556906E-2</v>
      </c>
      <c r="H31" s="411">
        <f>IF(ISNUMBER((Datos!M31-Datos!W31)/Datos!W31),(Datos!M31-Datos!W31)/Datos!W31," - ")</f>
        <v>-3.1382978723404252E-2</v>
      </c>
      <c r="I31" s="408">
        <f>IF(ISNUMBER((Tasas!C31-Datos!BE31)/Datos!BE31),(Tasas!C31-Datos!BE31)/Datos!BE31," - ")</f>
        <v>-0.14180512800088194</v>
      </c>
      <c r="J31" s="409">
        <f>IF(ISNUMBER((Tasas!D31-Datos!BF31)/Datos!BF31),(Tasas!D31-Datos!BF31)/Datos!BF31," - ")</f>
        <v>-0.36211077766607103</v>
      </c>
      <c r="K31" s="410">
        <f>IF(ISNUMBER((Tasas!E31-Datos!BG31)/Datos!BG31),(Tasas!E31-Datos!BG31)/Datos!BG31," - ")</f>
        <v>-3.4912745800735251E-2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0.46034362733789974</v>
      </c>
      <c r="E33" s="303">
        <f t="shared" si="1"/>
        <v>0.32862440827114986</v>
      </c>
      <c r="F33" s="303">
        <f t="shared" si="1"/>
        <v>0.45426175761335741</v>
      </c>
      <c r="G33" s="304">
        <f t="shared" si="1"/>
        <v>0.6202472047885158</v>
      </c>
      <c r="H33" s="310">
        <f t="shared" si="1"/>
        <v>0.31510411798891919</v>
      </c>
      <c r="I33" s="302">
        <f t="shared" si="1"/>
        <v>3.0238556564370467</v>
      </c>
      <c r="J33" s="303">
        <f t="shared" si="1"/>
        <v>0.43584602170703057</v>
      </c>
      <c r="K33" s="304">
        <f t="shared" si="1"/>
        <v>4.4352809362979514E-2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X19MBxIjC0p60b1t/nvT/OaTXlAWkF8Bpywn5d122xrMTwOSnTHIFZXLNa9dkYoIG/Xk1YFCWv0Mf7W/W46yA==" saltValue="YZ8eSz/vyFKE90BMUPfd2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